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etsch\Desktop\Political\Vote Your Values\City Budget\"/>
    </mc:Choice>
  </mc:AlternateContent>
  <xr:revisionPtr revIDLastSave="0" documentId="13_ncr:1_{1C526377-5B99-4EAC-A309-5D38782642D3}" xr6:coauthVersionLast="47" xr6:coauthVersionMax="47" xr10:uidLastSave="{00000000-0000-0000-0000-000000000000}"/>
  <bookViews>
    <workbookView xWindow="29445" yWindow="195" windowWidth="27645" windowHeight="15060" activeTab="1" xr2:uid="{19F86DB1-F370-4C24-BFF1-69D9FAA80AEF}"/>
  </bookViews>
  <sheets>
    <sheet name="Madison F. Stmt 9-2024" sheetId="1" r:id="rId1"/>
    <sheet name="Auburn vs Masdison" sheetId="2" r:id="rId2"/>
    <sheet name="Madison Finance History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  <c r="I9" i="2"/>
  <c r="I7" i="2"/>
  <c r="I8" i="2"/>
  <c r="J42" i="3"/>
  <c r="K42" i="3"/>
  <c r="L42" i="3"/>
  <c r="M42" i="3"/>
  <c r="N42" i="3"/>
  <c r="O42" i="3"/>
  <c r="P42" i="3"/>
  <c r="Q42" i="3"/>
  <c r="I42" i="3"/>
  <c r="P21" i="3"/>
  <c r="P15" i="3"/>
  <c r="Q15" i="3"/>
  <c r="O30" i="3"/>
  <c r="O28" i="3"/>
  <c r="P28" i="3"/>
  <c r="P30" i="3" s="1"/>
  <c r="O20" i="3"/>
  <c r="O22" i="3" s="1"/>
  <c r="O6" i="3"/>
  <c r="O9" i="3" s="1"/>
  <c r="P6" i="3"/>
  <c r="P9" i="3" s="1"/>
  <c r="N29" i="3"/>
  <c r="N28" i="3"/>
  <c r="N21" i="3"/>
  <c r="N20" i="3"/>
  <c r="N22" i="3" s="1"/>
  <c r="N15" i="3"/>
  <c r="N6" i="3"/>
  <c r="N9" i="3" s="1"/>
  <c r="M29" i="3"/>
  <c r="M30" i="3" s="1"/>
  <c r="M28" i="3"/>
  <c r="M21" i="3"/>
  <c r="M20" i="3"/>
  <c r="M22" i="3" s="1"/>
  <c r="H15" i="3"/>
  <c r="K15" i="3"/>
  <c r="L15" i="3"/>
  <c r="M15" i="3"/>
  <c r="M6" i="3"/>
  <c r="M9" i="3" s="1"/>
  <c r="L29" i="3"/>
  <c r="L26" i="3"/>
  <c r="L28" i="3"/>
  <c r="L30" i="3" s="1"/>
  <c r="L21" i="3"/>
  <c r="L20" i="3"/>
  <c r="L22" i="3" s="1"/>
  <c r="L32" i="3" s="1"/>
  <c r="L43" i="3" s="1"/>
  <c r="K6" i="3"/>
  <c r="K9" i="3" s="1"/>
  <c r="L6" i="3"/>
  <c r="L9" i="3"/>
  <c r="K21" i="3"/>
  <c r="K20" i="3"/>
  <c r="K22" i="3" s="1"/>
  <c r="K28" i="3"/>
  <c r="K30" i="3" s="1"/>
  <c r="K13" i="3"/>
  <c r="I21" i="3"/>
  <c r="I20" i="3"/>
  <c r="I22" i="3" s="1"/>
  <c r="I29" i="3"/>
  <c r="I28" i="3"/>
  <c r="I30" i="3" s="1"/>
  <c r="H18" i="3"/>
  <c r="H17" i="3"/>
  <c r="H20" i="3" s="1"/>
  <c r="H22" i="3" s="1"/>
  <c r="G13" i="3"/>
  <c r="H13" i="3"/>
  <c r="H6" i="3"/>
  <c r="H9" i="3" s="1"/>
  <c r="G6" i="3"/>
  <c r="G9" i="3" s="1"/>
  <c r="P20" i="3"/>
  <c r="O13" i="3"/>
  <c r="P13" i="3"/>
  <c r="N13" i="3"/>
  <c r="M13" i="3"/>
  <c r="L13" i="3"/>
  <c r="Q5" i="3"/>
  <c r="Q4" i="3" s="1"/>
  <c r="Q6" i="3" s="1"/>
  <c r="Q9" i="3" s="1"/>
  <c r="J6" i="3"/>
  <c r="J9" i="3" s="1"/>
  <c r="J21" i="3"/>
  <c r="J28" i="3"/>
  <c r="J30" i="3" s="1"/>
  <c r="Q13" i="3"/>
  <c r="C15" i="3"/>
  <c r="J20" i="3"/>
  <c r="J22" i="3" s="1"/>
  <c r="C20" i="3"/>
  <c r="J13" i="3"/>
  <c r="I13" i="3"/>
  <c r="I6" i="3"/>
  <c r="I9" i="3" s="1"/>
  <c r="D78" i="1"/>
  <c r="Q28" i="3"/>
  <c r="Q30" i="3" s="1"/>
  <c r="Q20" i="3"/>
  <c r="Q22" i="3" s="1"/>
  <c r="C13" i="3"/>
  <c r="B12" i="3"/>
  <c r="B11" i="3"/>
  <c r="B8" i="3"/>
  <c r="C5" i="3"/>
  <c r="C6" i="3" s="1"/>
  <c r="C12" i="2"/>
  <c r="D12" i="2"/>
  <c r="D8" i="2"/>
  <c r="C8" i="2"/>
  <c r="C77" i="1"/>
  <c r="D79" i="1"/>
  <c r="D82" i="1" s="1"/>
  <c r="D77" i="1"/>
  <c r="D72" i="1"/>
  <c r="D75" i="1"/>
  <c r="E107" i="1"/>
  <c r="E106" i="1"/>
  <c r="E108" i="1" s="1"/>
  <c r="E110" i="1" s="1"/>
  <c r="C104" i="1"/>
  <c r="E102" i="1"/>
  <c r="D98" i="1"/>
  <c r="D110" i="1" s="1"/>
  <c r="E101" i="1"/>
  <c r="C97" i="1"/>
  <c r="C110" i="1" s="1"/>
  <c r="E100" i="1"/>
  <c r="D59" i="1"/>
  <c r="E45" i="1"/>
  <c r="C45" i="1"/>
  <c r="D43" i="1"/>
  <c r="D30" i="1"/>
  <c r="E41" i="1"/>
  <c r="E42" i="1" s="1"/>
  <c r="C42" i="1"/>
  <c r="E29" i="1"/>
  <c r="C29" i="1"/>
  <c r="E72" i="1"/>
  <c r="E75" i="1" s="1"/>
  <c r="E77" i="1" s="1"/>
  <c r="C72" i="1"/>
  <c r="C75" i="1" s="1"/>
  <c r="E57" i="1"/>
  <c r="D57" i="1"/>
  <c r="C57" i="1"/>
  <c r="D55" i="1"/>
  <c r="E55" i="1"/>
  <c r="C55" i="1"/>
  <c r="N32" i="3" l="1"/>
  <c r="N43" i="3" s="1"/>
  <c r="O32" i="3"/>
  <c r="O43" i="3" s="1"/>
  <c r="K32" i="3"/>
  <c r="K43" i="3" s="1"/>
  <c r="N30" i="3"/>
  <c r="M32" i="3"/>
  <c r="M43" i="3" s="1"/>
  <c r="P22" i="3"/>
  <c r="B6" i="3"/>
  <c r="B9" i="3" s="1"/>
  <c r="C9" i="3"/>
  <c r="I32" i="3"/>
  <c r="I43" i="3" s="1"/>
  <c r="P32" i="3"/>
  <c r="P43" i="3" s="1"/>
  <c r="J32" i="3"/>
  <c r="J43" i="3" s="1"/>
  <c r="Q32" i="3"/>
  <c r="Q43" i="3" s="1"/>
  <c r="B13" i="3"/>
  <c r="D58" i="1"/>
  <c r="D60" i="1" s="1"/>
  <c r="C58" i="1"/>
  <c r="E58" i="1"/>
</calcChain>
</file>

<file path=xl/sharedStrings.xml><?xml version="1.0" encoding="utf-8"?>
<sst xmlns="http://schemas.openxmlformats.org/spreadsheetml/2006/main" count="132" uniqueCount="111">
  <si>
    <t>G. O. Warrants, School Purpose</t>
  </si>
  <si>
    <t>Face Value $M</t>
  </si>
  <si>
    <t>Ending Bal $M</t>
  </si>
  <si>
    <t>G. O. Warrants, General Purpose</t>
  </si>
  <si>
    <t>Amt Due-1 yr $M</t>
  </si>
  <si>
    <t xml:space="preserve">Notes &amp; Misc </t>
  </si>
  <si>
    <t>Total</t>
  </si>
  <si>
    <t>G. O. Warrants, City BOE</t>
  </si>
  <si>
    <t>G. O. Warrants, Water &amp; Sewer</t>
  </si>
  <si>
    <t>Subordinated W. &amp; S. Bonds</t>
  </si>
  <si>
    <r>
      <t xml:space="preserve">City General Obligation Warrants </t>
    </r>
    <r>
      <rPr>
        <b/>
        <sz val="12"/>
        <color rgb="FFC00000"/>
        <rFont val="Calibri"/>
        <family val="2"/>
        <scheme val="minor"/>
      </rPr>
      <t xml:space="preserve"> (pg 35)</t>
    </r>
  </si>
  <si>
    <t>AL Law limits GO Debt Cities to 20% of assessed value of real and personal property for Warrants (excluding Water, Schools and Sewers).                                                                                                       9/30/24 - 20% limit was $236.345M.  City debt applicable was $100.130M</t>
  </si>
  <si>
    <t>For purposes of promoting economic development, 50% of assessed value of real and personal property be used for debt.                                                                                                                           9/30/24 - 50% limit was $590.862M.  City debt applicable was $120.348M</t>
  </si>
  <si>
    <t>Sumary of Madison City Financial Statement                                                                        Sept 30, 2024</t>
  </si>
  <si>
    <t>Accounts are grouped into 19 individual Funds that are used to maintain control over resources segregated by specific activities.</t>
  </si>
  <si>
    <t>General Info and observations. . .</t>
  </si>
  <si>
    <t>A</t>
  </si>
  <si>
    <t>2. Gen. Obligation Bond Collection Fund</t>
  </si>
  <si>
    <t>1. General Fund</t>
  </si>
  <si>
    <t>3. School Board Fund</t>
  </si>
  <si>
    <t>4. Capital Improvement Fund</t>
  </si>
  <si>
    <t>5. Gen. Capital Improvement Fund</t>
  </si>
  <si>
    <t>6. Debt Service Fund</t>
  </si>
  <si>
    <t>7-13. Other Gov't Funds combinded into a single aggregate</t>
  </si>
  <si>
    <t>B</t>
  </si>
  <si>
    <t>Pg 14. . . ."The City of Madison maintains a Standard and Poor's rating of AA+.                                                                  Ratings are AAA, AA, A, BBB, etc.</t>
  </si>
  <si>
    <t xml:space="preserve">S&amp;P Bond Rating.   </t>
  </si>
  <si>
    <t xml:space="preserve">The Debt Total ($306.5M) does NOT include Water, Sewer, and School. </t>
  </si>
  <si>
    <t xml:space="preserve">Pgs. 13-14. . . ."The City of Madison maintains a Standard and Poor's rating of AA+.    This is based upon 20% maximum debt of "Assessed Value" of City Assests (real and personal property).  </t>
  </si>
  <si>
    <t>. . .the City maximum allowable debt limit was $236.35M.  The City's debt applicable to the 20 percent limit was $100.13M. . ."   Cannot verify the math.  $236.35M / 0.20 = $1.182B</t>
  </si>
  <si>
    <t xml:space="preserve">Pg. 15  Net Assests show $444.98M. </t>
  </si>
  <si>
    <t>Revenues</t>
  </si>
  <si>
    <t>Property Taxes</t>
  </si>
  <si>
    <t>Sales Taxes</t>
  </si>
  <si>
    <t>Licenses and Permits</t>
  </si>
  <si>
    <t>Other Fund Inc.</t>
  </si>
  <si>
    <t>Charges for Services</t>
  </si>
  <si>
    <t>General Fund (M)</t>
  </si>
  <si>
    <t>Total Gov't Funds (M)</t>
  </si>
  <si>
    <t>Misc. Other Revenus</t>
  </si>
  <si>
    <t>Statement of Revenues, Expenditures and Changes in Fund Balances   Pg. 19</t>
  </si>
  <si>
    <t>Expenditures</t>
  </si>
  <si>
    <t>Police</t>
  </si>
  <si>
    <t>General Services</t>
  </si>
  <si>
    <t>Fire</t>
  </si>
  <si>
    <t>HR</t>
  </si>
  <si>
    <t>Public Works</t>
  </si>
  <si>
    <t>Capital Outlay</t>
  </si>
  <si>
    <t>Debt Service P&amp;I</t>
  </si>
  <si>
    <t>Misc. Other Expenditures</t>
  </si>
  <si>
    <t>Parks and Rec</t>
  </si>
  <si>
    <t>Balance</t>
  </si>
  <si>
    <r>
      <t xml:space="preserve">Money was moved around, Fund to Fund as well as General Fund Surplus (?).  The Balance went from $125M to $114M.  </t>
    </r>
    <r>
      <rPr>
        <b/>
        <i/>
        <sz val="14"/>
        <color rgb="FFC00000"/>
        <rFont val="Calibri"/>
        <family val="2"/>
        <scheme val="minor"/>
      </rPr>
      <t xml:space="preserve">Will need more research and independent verification.  </t>
    </r>
  </si>
  <si>
    <t>Interest Due on Outstanding Balance</t>
  </si>
  <si>
    <t>Totals</t>
  </si>
  <si>
    <t>Total With Interest Due</t>
  </si>
  <si>
    <t>Total City Wide Debt</t>
  </si>
  <si>
    <t>Comparing City Budget to Typical Household</t>
  </si>
  <si>
    <t>Household income</t>
  </si>
  <si>
    <t>Household expenditures</t>
  </si>
  <si>
    <t>Household Savings Account</t>
  </si>
  <si>
    <t>Net</t>
  </si>
  <si>
    <t>House Primary Mortgage (city GO Warrants)</t>
  </si>
  <si>
    <t>2nd Job income</t>
  </si>
  <si>
    <t>Secondary Loan Payment</t>
  </si>
  <si>
    <t>Debt</t>
  </si>
  <si>
    <t>Savings</t>
  </si>
  <si>
    <t>Budget Flow</t>
  </si>
  <si>
    <t>House Secondary Loan (city School Bonds)</t>
  </si>
  <si>
    <t>Spending more than we take in forcing reduction in Savings to cover annual expenditures</t>
  </si>
  <si>
    <t>In Debt way more than typical Household. . .    10:1 Debt to income ratio</t>
  </si>
  <si>
    <t>Take entry totals from above and divide by 200</t>
  </si>
  <si>
    <r>
      <t xml:space="preserve">Madison City School, Water and Sewer Warrants  </t>
    </r>
    <r>
      <rPr>
        <b/>
        <sz val="12"/>
        <color rgb="FFC00000"/>
        <rFont val="Calibri"/>
        <family val="2"/>
        <scheme val="minor"/>
      </rPr>
      <t xml:space="preserve"> (pg 38)</t>
    </r>
  </si>
  <si>
    <t>Assets</t>
  </si>
  <si>
    <t>Auburn</t>
  </si>
  <si>
    <t>Madison</t>
  </si>
  <si>
    <t>Revenue ($M)</t>
  </si>
  <si>
    <t>Debt ($M)</t>
  </si>
  <si>
    <t>Expenditures($M)</t>
  </si>
  <si>
    <t>Liabilities ($M)</t>
  </si>
  <si>
    <t>Area (sq mi)</t>
  </si>
  <si>
    <r>
      <t xml:space="preserve">Pop. est </t>
    </r>
    <r>
      <rPr>
        <b/>
        <sz val="11"/>
        <color theme="1"/>
        <rFont val="Calibri"/>
        <family val="2"/>
        <scheme val="minor"/>
      </rPr>
      <t>('22)</t>
    </r>
  </si>
  <si>
    <t>NET</t>
  </si>
  <si>
    <t>Liq Investments</t>
  </si>
  <si>
    <t>Total Assets</t>
  </si>
  <si>
    <t>Total Cash</t>
  </si>
  <si>
    <t>Liabilities</t>
  </si>
  <si>
    <t>G. O. Warrants Gen. Purpose</t>
  </si>
  <si>
    <t>Misc</t>
  </si>
  <si>
    <t>Interest</t>
  </si>
  <si>
    <t>Sub Total</t>
  </si>
  <si>
    <t>Total City Debt W/Interest</t>
  </si>
  <si>
    <t>Interest Due - H2O, Sewer, BOE</t>
  </si>
  <si>
    <t>Subtot Debt- H2O, Sewer, BOE</t>
  </si>
  <si>
    <t>Bond Rating</t>
  </si>
  <si>
    <t>AA</t>
  </si>
  <si>
    <t>Net Position</t>
  </si>
  <si>
    <t>AA+</t>
  </si>
  <si>
    <t>Cash and Cash Equivalents</t>
  </si>
  <si>
    <t>Primary Govn't Revenues</t>
  </si>
  <si>
    <t>Primary Govn't Expenses</t>
  </si>
  <si>
    <t>G. O. Warrants School</t>
  </si>
  <si>
    <t>Population</t>
  </si>
  <si>
    <t xml:space="preserve">Adjusted </t>
  </si>
  <si>
    <t>Outlayer</t>
  </si>
  <si>
    <t>Total Debt</t>
  </si>
  <si>
    <t>Warrants-no Int.</t>
  </si>
  <si>
    <t>Gov &amp; Business Obligations</t>
  </si>
  <si>
    <t>Water Works</t>
  </si>
  <si>
    <t>Industrial Dev Board</t>
  </si>
  <si>
    <t>2024 Auburn Debt picture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</si>
</sst>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&quot;$&quot;#,##0.000"/>
    <numFmt numFmtId="165" formatCode="&quot;$&quot;#,##0.00"/>
    <numFmt numFmtId="166" formatCode="&quot;$&quot;#,##0"/>
    <numFmt numFmtId="167" formatCode="&quot;$&quot;#,##0.0_);[Red]\(&quot;$&quot;#,##0.0\)"/>
    <numFmt numFmtId="168" formatCode="&quot;$&quot;#,##0.0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rgb="FFC00000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4"/>
      <color rgb="FF0033CC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u/>
      <sz val="18"/>
      <color rgb="FFC00000"/>
      <name val="Calibri"/>
      <family val="2"/>
      <scheme val="minor"/>
    </font>
    <font>
      <b/>
      <sz val="12"/>
      <color rgb="FF0033CC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rgb="FF003399"/>
      <name val="Calibri"/>
      <family val="2"/>
      <scheme val="minor"/>
    </font>
    <font>
      <sz val="14"/>
      <color rgb="FF00339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/>
    <xf numFmtId="164" fontId="1" fillId="0" borderId="1" xfId="0" applyNumberFormat="1" applyFont="1" applyBorder="1"/>
    <xf numFmtId="0" fontId="2" fillId="0" borderId="0" xfId="0" applyFont="1" applyAlignment="1">
      <alignment horizontal="right" vertical="center"/>
    </xf>
    <xf numFmtId="164" fontId="2" fillId="0" borderId="1" xfId="0" applyNumberFormat="1" applyFont="1" applyBorder="1"/>
    <xf numFmtId="0" fontId="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165" fontId="1" fillId="0" borderId="0" xfId="0" applyNumberFormat="1" applyFont="1"/>
    <xf numFmtId="165" fontId="2" fillId="0" borderId="1" xfId="0" applyNumberFormat="1" applyFont="1" applyBorder="1"/>
    <xf numFmtId="0" fontId="8" fillId="0" borderId="0" xfId="0" applyFont="1" applyAlignment="1">
      <alignment horizontal="center" vertical="center"/>
    </xf>
    <xf numFmtId="8" fontId="2" fillId="0" borderId="1" xfId="0" applyNumberFormat="1" applyFont="1" applyBorder="1"/>
    <xf numFmtId="0" fontId="5" fillId="0" borderId="0" xfId="0" applyFont="1" applyAlignment="1">
      <alignment horizontal="right" vertical="center"/>
    </xf>
    <xf numFmtId="165" fontId="5" fillId="0" borderId="0" xfId="0" applyNumberFormat="1" applyFont="1"/>
    <xf numFmtId="0" fontId="3" fillId="0" borderId="0" xfId="0" applyFont="1" applyAlignment="1">
      <alignment horizontal="right" vertical="center"/>
    </xf>
    <xf numFmtId="164" fontId="3" fillId="0" borderId="11" xfId="0" applyNumberFormat="1" applyFont="1" applyBorder="1"/>
    <xf numFmtId="164" fontId="3" fillId="0" borderId="12" xfId="0" applyNumberFormat="1" applyFont="1" applyBorder="1"/>
    <xf numFmtId="164" fontId="3" fillId="0" borderId="13" xfId="0" applyNumberFormat="1" applyFont="1" applyBorder="1"/>
    <xf numFmtId="0" fontId="10" fillId="0" borderId="0" xfId="0" applyFont="1" applyAlignment="1">
      <alignment vertical="center" wrapText="1"/>
    </xf>
    <xf numFmtId="0" fontId="0" fillId="0" borderId="1" xfId="0" applyBorder="1"/>
    <xf numFmtId="164" fontId="2" fillId="0" borderId="0" xfId="0" applyNumberFormat="1" applyFont="1"/>
    <xf numFmtId="0" fontId="11" fillId="0" borderId="0" xfId="0" applyFont="1" applyAlignment="1">
      <alignment horizontal="right" vertical="center"/>
    </xf>
    <xf numFmtId="164" fontId="11" fillId="0" borderId="0" xfId="0" applyNumberFormat="1" applyFont="1"/>
    <xf numFmtId="0" fontId="12" fillId="2" borderId="1" xfId="0" applyFont="1" applyFill="1" applyBorder="1" applyAlignment="1">
      <alignment horizontal="right" vertical="center"/>
    </xf>
    <xf numFmtId="164" fontId="12" fillId="2" borderId="1" xfId="0" applyNumberFormat="1" applyFont="1" applyFill="1" applyBorder="1"/>
    <xf numFmtId="164" fontId="12" fillId="3" borderId="1" xfId="0" applyNumberFormat="1" applyFont="1" applyFill="1" applyBorder="1"/>
    <xf numFmtId="0" fontId="5" fillId="0" borderId="0" xfId="0" applyFont="1" applyAlignment="1">
      <alignment horizontal="left" vertical="center"/>
    </xf>
    <xf numFmtId="166" fontId="1" fillId="0" borderId="0" xfId="0" applyNumberFormat="1" applyFont="1"/>
    <xf numFmtId="166" fontId="0" fillId="0" borderId="0" xfId="0" applyNumberFormat="1"/>
    <xf numFmtId="166" fontId="5" fillId="0" borderId="0" xfId="0" applyNumberFormat="1" applyFont="1"/>
    <xf numFmtId="0" fontId="13" fillId="0" borderId="0" xfId="0" applyFont="1" applyAlignment="1">
      <alignment horizontal="center" vertical="center"/>
    </xf>
    <xf numFmtId="6" fontId="1" fillId="0" borderId="1" xfId="0" applyNumberFormat="1" applyFont="1" applyBorder="1"/>
    <xf numFmtId="0" fontId="12" fillId="0" borderId="0" xfId="0" applyFont="1" applyAlignment="1">
      <alignment horizontal="right" vertical="center"/>
    </xf>
    <xf numFmtId="166" fontId="12" fillId="0" borderId="1" xfId="0" applyNumberFormat="1" applyFont="1" applyBorder="1"/>
    <xf numFmtId="6" fontId="12" fillId="0" borderId="1" xfId="0" applyNumberFormat="1" applyFont="1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66" fontId="13" fillId="0" borderId="15" xfId="0" applyNumberFormat="1" applyFont="1" applyBorder="1"/>
    <xf numFmtId="0" fontId="0" fillId="0" borderId="15" xfId="0" applyBorder="1"/>
    <xf numFmtId="166" fontId="1" fillId="0" borderId="15" xfId="0" applyNumberFormat="1" applyFont="1" applyBorder="1"/>
    <xf numFmtId="166" fontId="0" fillId="0" borderId="15" xfId="0" applyNumberFormat="1" applyBorder="1"/>
    <xf numFmtId="166" fontId="12" fillId="0" borderId="14" xfId="0" applyNumberFormat="1" applyFont="1" applyBorder="1"/>
    <xf numFmtId="166" fontId="1" fillId="0" borderId="14" xfId="0" applyNumberFormat="1" applyFont="1" applyBorder="1"/>
    <xf numFmtId="166" fontId="0" fillId="0" borderId="14" xfId="0" applyNumberFormat="1" applyBorder="1"/>
    <xf numFmtId="0" fontId="2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8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0" fillId="0" borderId="5" xfId="0" applyBorder="1"/>
    <xf numFmtId="168" fontId="1" fillId="0" borderId="5" xfId="0" applyNumberFormat="1" applyFont="1" applyBorder="1" applyAlignment="1">
      <alignment horizontal="right" vertical="center"/>
    </xf>
    <xf numFmtId="167" fontId="1" fillId="0" borderId="0" xfId="0" applyNumberFormat="1" applyFont="1" applyAlignment="1">
      <alignment horizontal="right" vertical="center"/>
    </xf>
    <xf numFmtId="0" fontId="1" fillId="0" borderId="16" xfId="0" applyFont="1" applyBorder="1" applyAlignment="1">
      <alignment horizontal="center" vertical="center"/>
    </xf>
    <xf numFmtId="3" fontId="1" fillId="0" borderId="16" xfId="0" applyNumberFormat="1" applyFont="1" applyBorder="1" applyAlignment="1">
      <alignment horizontal="center" vertical="center"/>
    </xf>
    <xf numFmtId="168" fontId="1" fillId="0" borderId="16" xfId="0" applyNumberFormat="1" applyFont="1" applyBorder="1" applyAlignment="1">
      <alignment horizontal="right" vertical="center"/>
    </xf>
    <xf numFmtId="168" fontId="1" fillId="0" borderId="4" xfId="0" applyNumberFormat="1" applyFont="1" applyBorder="1" applyAlignment="1">
      <alignment horizontal="right" vertical="center"/>
    </xf>
    <xf numFmtId="167" fontId="1" fillId="0" borderId="16" xfId="0" applyNumberFormat="1" applyFont="1" applyBorder="1" applyAlignment="1">
      <alignment horizontal="right" vertical="center"/>
    </xf>
    <xf numFmtId="0" fontId="2" fillId="6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167" fontId="1" fillId="0" borderId="3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0" fontId="1" fillId="0" borderId="0" xfId="0" applyFont="1"/>
    <xf numFmtId="166" fontId="0" fillId="0" borderId="17" xfId="0" applyNumberFormat="1" applyBorder="1"/>
    <xf numFmtId="0" fontId="6" fillId="0" borderId="0" xfId="0" applyFont="1"/>
    <xf numFmtId="6" fontId="6" fillId="0" borderId="17" xfId="0" applyNumberFormat="1" applyFont="1" applyBorder="1"/>
    <xf numFmtId="0" fontId="1" fillId="0" borderId="0" xfId="0" applyFont="1" applyAlignment="1">
      <alignment horizontal="right"/>
    </xf>
    <xf numFmtId="0" fontId="1" fillId="0" borderId="17" xfId="0" applyFont="1" applyBorder="1" applyAlignment="1">
      <alignment horizontal="right"/>
    </xf>
    <xf numFmtId="0" fontId="5" fillId="0" borderId="0" xfId="0" applyFont="1" applyAlignment="1">
      <alignment horizontal="left"/>
    </xf>
    <xf numFmtId="166" fontId="16" fillId="0" borderId="0" xfId="0" applyNumberFormat="1" applyFont="1"/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166" fontId="1" fillId="0" borderId="17" xfId="0" applyNumberFormat="1" applyFont="1" applyBorder="1"/>
    <xf numFmtId="166" fontId="2" fillId="0" borderId="1" xfId="0" applyNumberFormat="1" applyFont="1" applyBorder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/>
    </xf>
    <xf numFmtId="166" fontId="6" fillId="0" borderId="18" xfId="0" applyNumberFormat="1" applyFont="1" applyBorder="1"/>
    <xf numFmtId="0" fontId="17" fillId="0" borderId="0" xfId="0" applyFont="1"/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8" fillId="0" borderId="0" xfId="0" applyFont="1"/>
    <xf numFmtId="3" fontId="1" fillId="0" borderId="0" xfId="0" applyNumberFormat="1" applyFont="1"/>
    <xf numFmtId="166" fontId="16" fillId="8" borderId="0" xfId="0" applyNumberFormat="1" applyFont="1" applyFill="1"/>
    <xf numFmtId="0" fontId="6" fillId="8" borderId="0" xfId="0" applyFont="1" applyFill="1" applyAlignment="1">
      <alignment horizontal="center" vertical="center"/>
    </xf>
    <xf numFmtId="166" fontId="0" fillId="9" borderId="0" xfId="0" applyNumberFormat="1" applyFill="1"/>
    <xf numFmtId="0" fontId="6" fillId="9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5" borderId="0" xfId="0" applyFont="1" applyFill="1" applyAlignment="1">
      <alignment horizontal="left" vertical="center"/>
    </xf>
    <xf numFmtId="0" fontId="12" fillId="3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5" fillId="0" borderId="18" xfId="0" applyFont="1" applyBorder="1" applyAlignment="1">
      <alignment horizontal="right"/>
    </xf>
    <xf numFmtId="0" fontId="0" fillId="0" borderId="17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  <color rgb="FF003399"/>
      <color rgb="FF0033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/>
              <a:t>Madison Revenue, Expenses, &amp; Total Debt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378365747704875E-2"/>
          <c:y val="7.1642606514409984E-2"/>
          <c:w val="0.90092160008750533"/>
          <c:h val="0.84758143445399181"/>
        </c:manualLayout>
      </c:layout>
      <c:scatterChart>
        <c:scatterStyle val="lineMarker"/>
        <c:varyColors val="0"/>
        <c:ser>
          <c:idx val="0"/>
          <c:order val="0"/>
          <c:tx>
            <c:v>Revenue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'Madison Finance History'!$I$39:$Q$39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xVal>
          <c:yVal>
            <c:numRef>
              <c:f>'Madison Finance History'!$I$40:$Q$40</c:f>
              <c:numCache>
                <c:formatCode>"$"#,##0</c:formatCode>
                <c:ptCount val="9"/>
                <c:pt idx="0">
                  <c:v>53034000</c:v>
                </c:pt>
                <c:pt idx="1">
                  <c:v>54252035</c:v>
                </c:pt>
                <c:pt idx="2">
                  <c:v>56911508</c:v>
                </c:pt>
                <c:pt idx="3">
                  <c:v>59499530</c:v>
                </c:pt>
                <c:pt idx="4">
                  <c:v>64345787</c:v>
                </c:pt>
                <c:pt idx="5">
                  <c:v>79085600</c:v>
                </c:pt>
                <c:pt idx="6">
                  <c:v>50735173</c:v>
                </c:pt>
                <c:pt idx="7">
                  <c:v>112610904</c:v>
                </c:pt>
                <c:pt idx="8">
                  <c:v>56880000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17-4605-A349-7F2E67D44CAB}"/>
            </c:ext>
          </c:extLst>
        </c:ser>
        <c:ser>
          <c:idx val="1"/>
          <c:order val="1"/>
          <c:tx>
            <c:v>Expenses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'Madison Finance History'!$I$39:$Q$39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xVal>
          <c:yVal>
            <c:numRef>
              <c:f>'Madison Finance History'!$I$41:$Q$41</c:f>
              <c:numCache>
                <c:formatCode>"$"#,##0</c:formatCode>
                <c:ptCount val="9"/>
                <c:pt idx="0">
                  <c:v>46404802</c:v>
                </c:pt>
                <c:pt idx="1">
                  <c:v>55249943</c:v>
                </c:pt>
                <c:pt idx="2">
                  <c:v>56377086</c:v>
                </c:pt>
                <c:pt idx="3">
                  <c:v>54011946</c:v>
                </c:pt>
                <c:pt idx="4">
                  <c:v>51736555</c:v>
                </c:pt>
                <c:pt idx="5">
                  <c:v>54780452</c:v>
                </c:pt>
                <c:pt idx="6">
                  <c:v>63784854</c:v>
                </c:pt>
                <c:pt idx="7">
                  <c:v>115272150</c:v>
                </c:pt>
                <c:pt idx="8">
                  <c:v>60470000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17-4605-A349-7F2E67D44CAB}"/>
            </c:ext>
          </c:extLst>
        </c:ser>
        <c:ser>
          <c:idx val="2"/>
          <c:order val="2"/>
          <c:tx>
            <c:v>Total Debt</c:v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'Madison Finance History'!$I$39:$Q$39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xVal>
          <c:yVal>
            <c:numRef>
              <c:f>'Madison Finance History'!$I$43:$Q$43</c:f>
              <c:numCache>
                <c:formatCode>"$"#,##0</c:formatCode>
                <c:ptCount val="9"/>
                <c:pt idx="0">
                  <c:v>513003997</c:v>
                </c:pt>
                <c:pt idx="1">
                  <c:v>632262507</c:v>
                </c:pt>
                <c:pt idx="2">
                  <c:v>696233454</c:v>
                </c:pt>
                <c:pt idx="3">
                  <c:v>690719498</c:v>
                </c:pt>
                <c:pt idx="4">
                  <c:v>839744036</c:v>
                </c:pt>
                <c:pt idx="5">
                  <c:v>873567786</c:v>
                </c:pt>
                <c:pt idx="6">
                  <c:v>819383906</c:v>
                </c:pt>
                <c:pt idx="7">
                  <c:v>1086877329</c:v>
                </c:pt>
                <c:pt idx="8">
                  <c:v>1284247000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017-4605-A349-7F2E67D44CAB}"/>
            </c:ext>
          </c:extLst>
        </c:ser>
        <c:ser>
          <c:idx val="3"/>
          <c:order val="3"/>
          <c:tx>
            <c:v>Warrant- No Int.</c:v>
          </c:tx>
          <c:spPr>
            <a:ln w="19050" cap="rnd">
              <a:solidFill>
                <a:srgbClr val="008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'Madison Finance History'!$I$39:$Q$39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xVal>
          <c:yVal>
            <c:numRef>
              <c:f>'Madison Finance History'!$I$42:$Q$42</c:f>
              <c:numCache>
                <c:formatCode>"$"#,##0</c:formatCode>
                <c:ptCount val="9"/>
                <c:pt idx="0">
                  <c:v>301725739</c:v>
                </c:pt>
                <c:pt idx="1">
                  <c:v>346789465</c:v>
                </c:pt>
                <c:pt idx="2">
                  <c:v>409862921</c:v>
                </c:pt>
                <c:pt idx="3">
                  <c:v>400098149</c:v>
                </c:pt>
                <c:pt idx="4">
                  <c:v>546853140</c:v>
                </c:pt>
                <c:pt idx="5">
                  <c:v>534167482</c:v>
                </c:pt>
                <c:pt idx="6">
                  <c:v>519682320</c:v>
                </c:pt>
                <c:pt idx="7">
                  <c:v>641985094</c:v>
                </c:pt>
                <c:pt idx="8">
                  <c:v>700352000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25-4EB8-BB07-AD14CEDE3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0377839"/>
        <c:axId val="460377359"/>
      </c:scatterChart>
      <c:valAx>
        <c:axId val="460377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0377359"/>
        <c:crossesAt val="0"/>
        <c:crossBetween val="midCat"/>
      </c:valAx>
      <c:valAx>
        <c:axId val="460377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03778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25" l="0.2" r="0.2" t="0.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690562</xdr:colOff>
      <xdr:row>43</xdr:row>
      <xdr:rowOff>142879</xdr:rowOff>
    </xdr:from>
    <xdr:to>
      <xdr:col>15</xdr:col>
      <xdr:colOff>595311</xdr:colOff>
      <xdr:row>78</xdr:row>
      <xdr:rowOff>178599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E5A558-92F4-514C-125C-89068004A8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F97D0-7BE7-4506-BBD2-3AADE0E641A9}">
  <dimension ref="A1:G113"/>
  <sheetViews>
    <sheetView topLeftCell="A85" workbookViewId="0">
      <selection activeCell="C97" sqref="C97"/>
    </sheetView>
  </sheetViews>
  <sheetFormatPr defaultRowHeight="15.75" x14ac:dyDescent="0.25"/>
  <cols>
    <col min="1" max="1" width="3.140625" customWidth="1"/>
    <col min="2" max="2" width="44.42578125" style="2" customWidth="1"/>
    <col min="3" max="3" width="18.28515625" customWidth="1"/>
    <col min="4" max="4" width="18.42578125" customWidth="1"/>
    <col min="5" max="5" width="22.42578125" customWidth="1"/>
    <col min="6" max="7" width="16.7109375" customWidth="1"/>
  </cols>
  <sheetData>
    <row r="1" spans="1:5" ht="15.75" customHeight="1" x14ac:dyDescent="0.25">
      <c r="B1" s="102" t="s">
        <v>13</v>
      </c>
      <c r="C1" s="102"/>
      <c r="D1" s="102"/>
      <c r="E1" s="102"/>
    </row>
    <row r="2" spans="1:5" ht="24" customHeight="1" x14ac:dyDescent="0.25">
      <c r="A2" s="25"/>
      <c r="B2" s="102"/>
      <c r="C2" s="102"/>
      <c r="D2" s="102"/>
      <c r="E2" s="102"/>
    </row>
    <row r="3" spans="1:5" ht="11.25" customHeight="1" x14ac:dyDescent="0.25">
      <c r="A3" s="25"/>
      <c r="B3" s="25"/>
      <c r="C3" s="25"/>
      <c r="D3" s="25"/>
      <c r="E3" s="25"/>
    </row>
    <row r="4" spans="1:5" ht="15.75" customHeight="1" x14ac:dyDescent="0.25">
      <c r="A4" s="111" t="s">
        <v>15</v>
      </c>
      <c r="B4" s="111"/>
    </row>
    <row r="5" spans="1:5" ht="36.75" customHeight="1" x14ac:dyDescent="0.25">
      <c r="A5" s="13" t="s">
        <v>16</v>
      </c>
      <c r="B5" s="103" t="s">
        <v>14</v>
      </c>
      <c r="C5" s="103"/>
      <c r="D5" s="103"/>
      <c r="E5" s="103"/>
    </row>
    <row r="6" spans="1:5" x14ac:dyDescent="0.25">
      <c r="A6" s="14"/>
      <c r="B6" s="2" t="s">
        <v>18</v>
      </c>
    </row>
    <row r="7" spans="1:5" x14ac:dyDescent="0.25">
      <c r="A7" s="14"/>
      <c r="B7" s="2" t="s">
        <v>17</v>
      </c>
    </row>
    <row r="8" spans="1:5" x14ac:dyDescent="0.25">
      <c r="A8" s="14"/>
      <c r="B8" s="2" t="s">
        <v>19</v>
      </c>
    </row>
    <row r="9" spans="1:5" x14ac:dyDescent="0.25">
      <c r="A9" s="14"/>
      <c r="B9" s="2" t="s">
        <v>20</v>
      </c>
    </row>
    <row r="10" spans="1:5" x14ac:dyDescent="0.25">
      <c r="A10" s="14"/>
      <c r="B10" s="2" t="s">
        <v>21</v>
      </c>
    </row>
    <row r="11" spans="1:5" x14ac:dyDescent="0.25">
      <c r="A11" s="14"/>
      <c r="B11" s="2" t="s">
        <v>22</v>
      </c>
    </row>
    <row r="12" spans="1:5" ht="36.75" customHeight="1" x14ac:dyDescent="0.25">
      <c r="A12" s="14"/>
      <c r="B12" s="12" t="s">
        <v>23</v>
      </c>
    </row>
    <row r="13" spans="1:5" x14ac:dyDescent="0.25">
      <c r="A13" s="14"/>
    </row>
    <row r="14" spans="1:5" x14ac:dyDescent="0.25">
      <c r="A14" s="13" t="s">
        <v>24</v>
      </c>
      <c r="B14" s="103" t="s">
        <v>26</v>
      </c>
      <c r="C14" s="103"/>
      <c r="D14" s="103"/>
      <c r="E14" s="103"/>
    </row>
    <row r="15" spans="1:5" ht="40.5" customHeight="1" x14ac:dyDescent="0.25">
      <c r="B15" s="103" t="s">
        <v>28</v>
      </c>
      <c r="C15" s="103"/>
      <c r="D15" s="103"/>
      <c r="E15" s="103"/>
    </row>
    <row r="16" spans="1:5" ht="24" customHeight="1" x14ac:dyDescent="0.25">
      <c r="B16" s="103" t="s">
        <v>27</v>
      </c>
      <c r="C16" s="103"/>
      <c r="D16" s="103"/>
      <c r="E16" s="103"/>
    </row>
    <row r="17" spans="2:7" ht="46.5" customHeight="1" x14ac:dyDescent="0.25">
      <c r="B17" s="104" t="s">
        <v>29</v>
      </c>
      <c r="C17" s="104"/>
      <c r="D17" s="104"/>
      <c r="E17" s="104"/>
    </row>
    <row r="18" spans="2:7" ht="28.5" customHeight="1" x14ac:dyDescent="0.25">
      <c r="B18" s="104" t="s">
        <v>30</v>
      </c>
      <c r="C18" s="104"/>
      <c r="D18" s="104"/>
      <c r="E18" s="104"/>
    </row>
    <row r="19" spans="2:7" ht="16.5" thickBot="1" x14ac:dyDescent="0.3"/>
    <row r="20" spans="2:7" ht="18.75" customHeight="1" x14ac:dyDescent="0.25">
      <c r="C20" s="105" t="s">
        <v>40</v>
      </c>
      <c r="D20" s="106"/>
      <c r="E20" s="107"/>
    </row>
    <row r="21" spans="2:7" ht="26.25" customHeight="1" thickBot="1" x14ac:dyDescent="0.3">
      <c r="C21" s="108"/>
      <c r="D21" s="109"/>
      <c r="E21" s="110"/>
    </row>
    <row r="22" spans="2:7" ht="12" customHeight="1" x14ac:dyDescent="0.25">
      <c r="C22" s="8"/>
      <c r="D22" s="8"/>
      <c r="E22" s="8"/>
    </row>
    <row r="23" spans="2:7" s="1" customFormat="1" ht="16.5" thickBot="1" x14ac:dyDescent="0.3">
      <c r="B23" s="2"/>
      <c r="C23" s="9" t="s">
        <v>37</v>
      </c>
      <c r="D23" s="10" t="s">
        <v>35</v>
      </c>
      <c r="E23" s="11" t="s">
        <v>38</v>
      </c>
      <c r="F23" s="3"/>
      <c r="G23" s="3"/>
    </row>
    <row r="24" spans="2:7" ht="18.75" x14ac:dyDescent="0.25">
      <c r="B24" s="17" t="s">
        <v>31</v>
      </c>
      <c r="C24" s="4"/>
      <c r="D24" s="4"/>
      <c r="E24" s="4"/>
      <c r="F24" s="4"/>
      <c r="G24" s="4"/>
    </row>
    <row r="25" spans="2:7" x14ac:dyDescent="0.25">
      <c r="B25" s="3" t="s">
        <v>32</v>
      </c>
      <c r="C25" s="15">
        <v>8.76</v>
      </c>
      <c r="D25" s="15"/>
      <c r="E25" s="15">
        <v>22.38</v>
      </c>
      <c r="F25" s="4"/>
      <c r="G25" s="4"/>
    </row>
    <row r="26" spans="2:7" x14ac:dyDescent="0.25">
      <c r="B26" s="3" t="s">
        <v>33</v>
      </c>
      <c r="C26" s="15">
        <v>24.7</v>
      </c>
      <c r="D26" s="15"/>
      <c r="E26" s="15">
        <v>42.07</v>
      </c>
      <c r="F26" s="4"/>
      <c r="G26" s="4"/>
    </row>
    <row r="27" spans="2:7" x14ac:dyDescent="0.25">
      <c r="B27" s="3" t="s">
        <v>34</v>
      </c>
      <c r="C27" s="15">
        <v>7</v>
      </c>
      <c r="D27" s="15"/>
      <c r="E27" s="15">
        <v>7.93</v>
      </c>
      <c r="F27" s="4"/>
      <c r="G27" s="4"/>
    </row>
    <row r="28" spans="2:7" x14ac:dyDescent="0.25">
      <c r="B28" s="3" t="s">
        <v>36</v>
      </c>
      <c r="C28" s="15">
        <v>4.6180000000000003</v>
      </c>
      <c r="D28" s="15"/>
      <c r="E28" s="15">
        <v>4.6180000000000003</v>
      </c>
      <c r="F28" s="4"/>
      <c r="G28" s="4"/>
    </row>
    <row r="29" spans="2:7" ht="16.5" thickBot="1" x14ac:dyDescent="0.3">
      <c r="B29" s="3" t="s">
        <v>39</v>
      </c>
      <c r="C29" s="15">
        <f>C30-C25-C26-C27-C28</f>
        <v>11.805000000000005</v>
      </c>
      <c r="D29" s="15"/>
      <c r="E29" s="15">
        <f>E30-E25-E26-E27-E28</f>
        <v>23.768999999999998</v>
      </c>
      <c r="F29" s="4"/>
      <c r="G29" s="4"/>
    </row>
    <row r="30" spans="2:7" ht="18.75" x14ac:dyDescent="0.3">
      <c r="B30" s="6" t="s">
        <v>6</v>
      </c>
      <c r="C30" s="16">
        <v>56.883000000000003</v>
      </c>
      <c r="D30" s="16">
        <f>E30-C30</f>
        <v>43.883999999999993</v>
      </c>
      <c r="E30" s="16">
        <v>100.767</v>
      </c>
      <c r="F30" s="4"/>
      <c r="G30" s="4"/>
    </row>
    <row r="31" spans="2:7" x14ac:dyDescent="0.25">
      <c r="B31" s="3"/>
      <c r="C31" s="15"/>
      <c r="D31" s="15"/>
      <c r="E31" s="15"/>
      <c r="F31" s="4"/>
      <c r="G31" s="4"/>
    </row>
    <row r="32" spans="2:7" x14ac:dyDescent="0.25">
      <c r="B32" s="3"/>
      <c r="C32" s="15"/>
      <c r="D32" s="15"/>
      <c r="E32" s="15"/>
      <c r="F32" s="4"/>
      <c r="G32" s="4"/>
    </row>
    <row r="33" spans="2:7" ht="18.75" x14ac:dyDescent="0.25">
      <c r="B33" s="17" t="s">
        <v>41</v>
      </c>
      <c r="C33" s="15"/>
      <c r="D33" s="15"/>
      <c r="E33" s="15"/>
      <c r="F33" s="4"/>
      <c r="G33" s="4"/>
    </row>
    <row r="34" spans="2:7" x14ac:dyDescent="0.25">
      <c r="B34" s="3" t="s">
        <v>43</v>
      </c>
      <c r="C34" s="15">
        <v>6.17</v>
      </c>
      <c r="D34" s="15"/>
      <c r="E34" s="15">
        <v>8.3650000000000002</v>
      </c>
      <c r="F34" s="4"/>
      <c r="G34" s="4"/>
    </row>
    <row r="35" spans="2:7" x14ac:dyDescent="0.25">
      <c r="B35" s="3" t="s">
        <v>42</v>
      </c>
      <c r="C35" s="15">
        <v>10.199999999999999</v>
      </c>
      <c r="D35" s="15"/>
      <c r="E35" s="15">
        <v>10.018000000000001</v>
      </c>
      <c r="F35" s="4"/>
      <c r="G35" s="4"/>
    </row>
    <row r="36" spans="2:7" x14ac:dyDescent="0.25">
      <c r="B36" s="3" t="s">
        <v>44</v>
      </c>
      <c r="C36" s="15">
        <v>8.61</v>
      </c>
      <c r="D36" s="15"/>
      <c r="E36" s="15">
        <v>8.61</v>
      </c>
      <c r="F36" s="4"/>
      <c r="G36" s="4"/>
    </row>
    <row r="37" spans="2:7" x14ac:dyDescent="0.25">
      <c r="B37" s="3" t="s">
        <v>45</v>
      </c>
      <c r="C37" s="15">
        <v>7.09</v>
      </c>
      <c r="D37" s="15"/>
      <c r="E37" s="15">
        <v>7.085</v>
      </c>
      <c r="F37" s="4"/>
      <c r="G37" s="4"/>
    </row>
    <row r="38" spans="2:7" x14ac:dyDescent="0.25">
      <c r="B38" s="3" t="s">
        <v>46</v>
      </c>
      <c r="C38" s="15">
        <v>3.88</v>
      </c>
      <c r="D38" s="15"/>
      <c r="E38" s="15">
        <v>4.2949999999999999</v>
      </c>
    </row>
    <row r="39" spans="2:7" x14ac:dyDescent="0.25">
      <c r="B39" s="3" t="s">
        <v>50</v>
      </c>
      <c r="C39" s="15">
        <v>4.2949999999999999</v>
      </c>
      <c r="D39" s="15"/>
      <c r="E39" s="15">
        <v>4.2949999999999999</v>
      </c>
    </row>
    <row r="40" spans="2:7" x14ac:dyDescent="0.25">
      <c r="B40" s="3" t="s">
        <v>47</v>
      </c>
      <c r="C40" s="15">
        <v>8.7100000000000009</v>
      </c>
      <c r="D40" s="15"/>
      <c r="E40" s="15">
        <v>39.015999999999998</v>
      </c>
    </row>
    <row r="41" spans="2:7" x14ac:dyDescent="0.25">
      <c r="B41" s="19" t="s">
        <v>48</v>
      </c>
      <c r="C41" s="20">
        <v>0.66600000000000004</v>
      </c>
      <c r="D41" s="20"/>
      <c r="E41" s="20">
        <f>9.667+11.376</f>
        <v>21.042999999999999</v>
      </c>
    </row>
    <row r="42" spans="2:7" ht="16.5" thickBot="1" x14ac:dyDescent="0.3">
      <c r="B42" s="3" t="s">
        <v>49</v>
      </c>
      <c r="C42" s="15">
        <f>C43-C34-C35-C36-C37-C38-C40-C41-C39</f>
        <v>10.85</v>
      </c>
      <c r="D42" s="15"/>
      <c r="E42" s="15">
        <f>E43-E34-E35-E36-E37-E38-E40-E41-E39</f>
        <v>13.366000000000016</v>
      </c>
    </row>
    <row r="43" spans="2:7" ht="18.75" x14ac:dyDescent="0.3">
      <c r="B43" s="6" t="s">
        <v>6</v>
      </c>
      <c r="C43" s="16">
        <v>60.470999999999997</v>
      </c>
      <c r="D43" s="16">
        <f>E43-C43</f>
        <v>55.622000000000007</v>
      </c>
      <c r="E43" s="16">
        <v>116.093</v>
      </c>
    </row>
    <row r="44" spans="2:7" ht="16.5" thickBot="1" x14ac:dyDescent="0.3"/>
    <row r="45" spans="2:7" ht="18.75" x14ac:dyDescent="0.3">
      <c r="B45" s="6" t="s">
        <v>51</v>
      </c>
      <c r="C45" s="18">
        <f>C30-C43</f>
        <v>-3.5879999999999939</v>
      </c>
      <c r="D45" s="18"/>
      <c r="E45" s="18">
        <f>E30-E43</f>
        <v>-15.326000000000008</v>
      </c>
    </row>
    <row r="46" spans="2:7" ht="44.25" customHeight="1" x14ac:dyDescent="0.25">
      <c r="B46" s="99" t="s">
        <v>52</v>
      </c>
      <c r="C46" s="100"/>
      <c r="D46" s="100"/>
      <c r="E46" s="101"/>
    </row>
    <row r="48" spans="2:7" ht="16.5" thickBot="1" x14ac:dyDescent="0.3"/>
    <row r="49" spans="2:7" ht="18.75" customHeight="1" x14ac:dyDescent="0.25">
      <c r="C49" s="112" t="s">
        <v>10</v>
      </c>
      <c r="D49" s="113"/>
      <c r="E49" s="114"/>
    </row>
    <row r="50" spans="2:7" ht="12" customHeight="1" thickBot="1" x14ac:dyDescent="0.3">
      <c r="C50" s="115"/>
      <c r="D50" s="116"/>
      <c r="E50" s="117"/>
    </row>
    <row r="51" spans="2:7" ht="12" customHeight="1" x14ac:dyDescent="0.25">
      <c r="C51" s="8"/>
      <c r="D51" s="8"/>
      <c r="E51" s="8"/>
    </row>
    <row r="52" spans="2:7" s="1" customFormat="1" ht="16.5" thickBot="1" x14ac:dyDescent="0.3">
      <c r="B52" s="2"/>
      <c r="C52" s="9" t="s">
        <v>1</v>
      </c>
      <c r="D52" s="10" t="s">
        <v>2</v>
      </c>
      <c r="E52" s="11" t="s">
        <v>4</v>
      </c>
      <c r="F52" s="3"/>
      <c r="G52" s="3"/>
    </row>
    <row r="53" spans="2:7" x14ac:dyDescent="0.25">
      <c r="B53" s="3" t="s">
        <v>3</v>
      </c>
      <c r="C53" s="4">
        <v>244.11500000000001</v>
      </c>
      <c r="D53" s="4">
        <v>214.86</v>
      </c>
      <c r="E53" s="4">
        <v>8</v>
      </c>
      <c r="F53" s="4"/>
      <c r="G53" s="4"/>
    </row>
    <row r="54" spans="2:7" ht="16.5" thickBot="1" x14ac:dyDescent="0.3">
      <c r="B54" s="3" t="s">
        <v>0</v>
      </c>
      <c r="C54" s="4">
        <v>79.39</v>
      </c>
      <c r="D54" s="4">
        <v>69.204999999999998</v>
      </c>
      <c r="E54" s="4">
        <v>3.0750000000000002</v>
      </c>
      <c r="F54" s="4"/>
      <c r="G54" s="4"/>
    </row>
    <row r="55" spans="2:7" x14ac:dyDescent="0.25">
      <c r="B55" s="3"/>
      <c r="C55" s="5">
        <f>SUM(C53:C54)</f>
        <v>323.505</v>
      </c>
      <c r="D55" s="5">
        <f t="shared" ref="D55:E55" si="0">SUM(D53:D54)</f>
        <v>284.065</v>
      </c>
      <c r="E55" s="5">
        <f t="shared" si="0"/>
        <v>11.074999999999999</v>
      </c>
      <c r="F55" s="4"/>
      <c r="G55" s="4"/>
    </row>
    <row r="56" spans="2:7" x14ac:dyDescent="0.25">
      <c r="B56" s="3"/>
      <c r="C56" s="4"/>
      <c r="D56" s="4"/>
      <c r="E56" s="4"/>
      <c r="F56" s="4"/>
      <c r="G56" s="4"/>
    </row>
    <row r="57" spans="2:7" ht="16.5" thickBot="1" x14ac:dyDescent="0.3">
      <c r="B57" s="3" t="s">
        <v>5</v>
      </c>
      <c r="C57" s="4">
        <f>11.182+1.273</f>
        <v>12.455</v>
      </c>
      <c r="D57" s="4">
        <f>9.758+0.644</f>
        <v>10.401999999999999</v>
      </c>
      <c r="E57" s="4">
        <f>1.356+0.247</f>
        <v>1.6030000000000002</v>
      </c>
      <c r="F57" s="4"/>
      <c r="G57" s="4"/>
    </row>
    <row r="58" spans="2:7" ht="18.75" x14ac:dyDescent="0.3">
      <c r="B58" s="6" t="s">
        <v>54</v>
      </c>
      <c r="C58" s="7">
        <f>SUM(C55,C57)</f>
        <v>335.96</v>
      </c>
      <c r="D58" s="7">
        <f t="shared" ref="D58:E58" si="1">SUM(D55,D57)</f>
        <v>294.46699999999998</v>
      </c>
      <c r="E58" s="7">
        <f t="shared" si="1"/>
        <v>12.677999999999999</v>
      </c>
      <c r="F58" s="4"/>
      <c r="G58" s="4"/>
    </row>
    <row r="59" spans="2:7" ht="19.5" thickBot="1" x14ac:dyDescent="0.35">
      <c r="B59" s="28" t="s">
        <v>53</v>
      </c>
      <c r="C59" s="29"/>
      <c r="D59" s="29">
        <f>106.423+19.257+0.83</f>
        <v>126.51</v>
      </c>
      <c r="E59" s="27"/>
      <c r="F59" s="4"/>
      <c r="G59" s="4"/>
    </row>
    <row r="60" spans="2:7" ht="21" x14ac:dyDescent="0.35">
      <c r="B60" s="30" t="s">
        <v>55</v>
      </c>
      <c r="C60" s="7"/>
      <c r="D60" s="31">
        <f>SUM(D58:D59)</f>
        <v>420.97699999999998</v>
      </c>
      <c r="E60" s="7"/>
      <c r="F60" s="4"/>
      <c r="G60" s="4"/>
    </row>
    <row r="61" spans="2:7" ht="18.75" x14ac:dyDescent="0.3">
      <c r="B61" s="6"/>
      <c r="C61" s="27"/>
      <c r="D61" s="27"/>
      <c r="E61" s="27"/>
      <c r="F61" s="4"/>
      <c r="G61" s="4"/>
    </row>
    <row r="62" spans="2:7" ht="66.75" customHeight="1" x14ac:dyDescent="0.25">
      <c r="B62" s="118" t="s">
        <v>11</v>
      </c>
      <c r="C62" s="118"/>
      <c r="D62" s="118"/>
      <c r="E62" s="118"/>
      <c r="F62" s="4"/>
      <c r="G62" s="4"/>
    </row>
    <row r="63" spans="2:7" ht="66.75" customHeight="1" x14ac:dyDescent="0.25">
      <c r="B63" s="118" t="s">
        <v>12</v>
      </c>
      <c r="C63" s="118"/>
      <c r="D63" s="118"/>
      <c r="E63" s="118"/>
      <c r="F63" s="4"/>
      <c r="G63" s="4"/>
    </row>
    <row r="64" spans="2:7" ht="60.75" customHeight="1" x14ac:dyDescent="0.25">
      <c r="B64" s="99" t="s">
        <v>25</v>
      </c>
      <c r="C64" s="100"/>
      <c r="D64" s="100"/>
      <c r="E64" s="101"/>
      <c r="F64" s="4"/>
      <c r="G64" s="4"/>
    </row>
    <row r="65" spans="1:7" ht="16.5" thickBot="1" x14ac:dyDescent="0.3">
      <c r="C65" s="4"/>
      <c r="D65" s="4"/>
      <c r="E65" s="4"/>
      <c r="F65" s="4"/>
      <c r="G65" s="4"/>
    </row>
    <row r="66" spans="1:7" x14ac:dyDescent="0.25">
      <c r="C66" s="105" t="s">
        <v>72</v>
      </c>
      <c r="D66" s="106"/>
      <c r="E66" s="107"/>
      <c r="F66" s="4"/>
      <c r="G66" s="4"/>
    </row>
    <row r="67" spans="1:7" ht="22.5" customHeight="1" thickBot="1" x14ac:dyDescent="0.3">
      <c r="C67" s="108"/>
      <c r="D67" s="109"/>
      <c r="E67" s="110"/>
      <c r="F67" s="4"/>
      <c r="G67" s="4"/>
    </row>
    <row r="68" spans="1:7" ht="18.75" x14ac:dyDescent="0.25">
      <c r="C68" s="8"/>
      <c r="D68" s="8"/>
      <c r="E68" s="8"/>
      <c r="F68" s="4"/>
      <c r="G68" s="4"/>
    </row>
    <row r="69" spans="1:7" ht="16.5" thickBot="1" x14ac:dyDescent="0.3">
      <c r="A69" s="1"/>
      <c r="C69" s="9" t="s">
        <v>1</v>
      </c>
      <c r="D69" s="10" t="s">
        <v>2</v>
      </c>
      <c r="E69" s="11" t="s">
        <v>4</v>
      </c>
      <c r="F69" s="4"/>
      <c r="G69" s="4"/>
    </row>
    <row r="70" spans="1:7" x14ac:dyDescent="0.25">
      <c r="B70" s="3" t="s">
        <v>7</v>
      </c>
      <c r="C70" s="4">
        <v>211.49</v>
      </c>
      <c r="D70" s="4">
        <v>187.65</v>
      </c>
      <c r="E70" s="4">
        <v>4.0839999999999996</v>
      </c>
      <c r="F70" s="4"/>
      <c r="G70" s="4"/>
    </row>
    <row r="71" spans="1:7" ht="16.5" thickBot="1" x14ac:dyDescent="0.3">
      <c r="B71" s="3" t="s">
        <v>8</v>
      </c>
      <c r="C71" s="4">
        <v>208.9</v>
      </c>
      <c r="D71" s="4">
        <v>205.18</v>
      </c>
      <c r="E71" s="4"/>
    </row>
    <row r="72" spans="1:7" x14ac:dyDescent="0.25">
      <c r="B72" s="3"/>
      <c r="C72" s="5">
        <f>SUM(C70:C71)</f>
        <v>420.39</v>
      </c>
      <c r="D72" s="5">
        <f>SUM(D70:D71)</f>
        <v>392.83000000000004</v>
      </c>
      <c r="E72" s="5">
        <f t="shared" ref="E72" si="2">SUM(E70:E71)</f>
        <v>4.0839999999999996</v>
      </c>
    </row>
    <row r="73" spans="1:7" x14ac:dyDescent="0.25">
      <c r="B73" s="3"/>
      <c r="C73" s="4"/>
      <c r="D73" s="4"/>
      <c r="E73" s="4"/>
    </row>
    <row r="74" spans="1:7" ht="16.5" thickBot="1" x14ac:dyDescent="0.3">
      <c r="B74" s="3" t="s">
        <v>9</v>
      </c>
      <c r="C74" s="4">
        <v>19.065000000000001</v>
      </c>
      <c r="D74" s="4">
        <v>13.055</v>
      </c>
      <c r="E74" s="4">
        <v>3.2850000000000001</v>
      </c>
    </row>
    <row r="75" spans="1:7" ht="18.75" x14ac:dyDescent="0.3">
      <c r="B75" s="6" t="s">
        <v>6</v>
      </c>
      <c r="C75" s="7">
        <f>SUM(C72,C74)</f>
        <v>439.45499999999998</v>
      </c>
      <c r="D75" s="7">
        <f>SUM(D72,D74)</f>
        <v>405.88500000000005</v>
      </c>
      <c r="E75" s="7">
        <f t="shared" ref="E75" si="3">SUM(E72,E74)</f>
        <v>7.3689999999999998</v>
      </c>
    </row>
    <row r="76" spans="1:7" ht="16.5" thickBot="1" x14ac:dyDescent="0.3"/>
    <row r="77" spans="1:7" ht="19.5" thickBot="1" x14ac:dyDescent="0.35">
      <c r="B77" s="21" t="s">
        <v>93</v>
      </c>
      <c r="C77" s="22">
        <f>SUM(C75+C58)</f>
        <v>775.41499999999996</v>
      </c>
      <c r="D77" s="23">
        <f>SUM(D75)</f>
        <v>405.88500000000005</v>
      </c>
      <c r="E77" s="24">
        <f t="shared" ref="E77" si="4">SUM(E75)</f>
        <v>7.3689999999999998</v>
      </c>
    </row>
    <row r="78" spans="1:7" ht="19.5" thickBot="1" x14ac:dyDescent="0.35">
      <c r="B78" s="28" t="s">
        <v>92</v>
      </c>
      <c r="C78" s="29"/>
      <c r="D78" s="29">
        <f>152.958+247.547</f>
        <v>400.505</v>
      </c>
      <c r="E78" s="27"/>
    </row>
    <row r="79" spans="1:7" ht="21" x14ac:dyDescent="0.35">
      <c r="B79" s="30" t="s">
        <v>55</v>
      </c>
      <c r="C79" s="7"/>
      <c r="D79" s="31">
        <f>SUM(D77:D78)</f>
        <v>806.3900000000001</v>
      </c>
      <c r="E79" s="7"/>
    </row>
    <row r="81" spans="2:5" ht="16.5" thickBot="1" x14ac:dyDescent="0.3"/>
    <row r="82" spans="2:5" ht="21" x14ac:dyDescent="0.35">
      <c r="B82" s="98" t="s">
        <v>56</v>
      </c>
      <c r="C82" s="98"/>
      <c r="D82" s="32">
        <f>D60+D79</f>
        <v>1227.3670000000002</v>
      </c>
      <c r="E82" s="26"/>
    </row>
    <row r="93" spans="2:5" ht="33.75" customHeight="1" x14ac:dyDescent="0.25">
      <c r="B93" s="95" t="s">
        <v>57</v>
      </c>
      <c r="C93" s="95"/>
      <c r="D93" s="95"/>
      <c r="E93" s="95"/>
    </row>
    <row r="94" spans="2:5" x14ac:dyDescent="0.25">
      <c r="B94" s="96" t="s">
        <v>71</v>
      </c>
      <c r="C94" s="96"/>
      <c r="D94" s="96"/>
      <c r="E94" s="96"/>
    </row>
    <row r="95" spans="2:5" x14ac:dyDescent="0.25">
      <c r="B95" s="1"/>
      <c r="C95" s="1"/>
      <c r="D95" s="1"/>
      <c r="E95" s="1"/>
    </row>
    <row r="96" spans="2:5" ht="19.5" thickBot="1" x14ac:dyDescent="0.3">
      <c r="B96" s="1"/>
      <c r="C96" s="42" t="s">
        <v>65</v>
      </c>
      <c r="D96" s="43" t="s">
        <v>66</v>
      </c>
      <c r="E96" s="44" t="s">
        <v>67</v>
      </c>
    </row>
    <row r="97" spans="2:5" x14ac:dyDescent="0.25">
      <c r="B97" s="33" t="s">
        <v>62</v>
      </c>
      <c r="C97" s="36">
        <f>420977000/200</f>
        <v>2104885</v>
      </c>
      <c r="D97" s="45"/>
      <c r="E97" s="1"/>
    </row>
    <row r="98" spans="2:5" x14ac:dyDescent="0.25">
      <c r="B98" s="37" t="s">
        <v>60</v>
      </c>
      <c r="D98" s="46">
        <f>107600000/200</f>
        <v>538000</v>
      </c>
    </row>
    <row r="99" spans="2:5" x14ac:dyDescent="0.25">
      <c r="B99" s="37"/>
      <c r="D99" s="46"/>
    </row>
    <row r="100" spans="2:5" x14ac:dyDescent="0.25">
      <c r="B100" s="3" t="s">
        <v>58</v>
      </c>
      <c r="D100" s="47"/>
      <c r="E100" s="34">
        <f>56880000/200</f>
        <v>284400</v>
      </c>
    </row>
    <row r="101" spans="2:5" ht="16.5" thickBot="1" x14ac:dyDescent="0.3">
      <c r="B101" s="3" t="s">
        <v>59</v>
      </c>
      <c r="D101" s="47"/>
      <c r="E101" s="34">
        <f>60470000/200</f>
        <v>302350</v>
      </c>
    </row>
    <row r="102" spans="2:5" x14ac:dyDescent="0.25">
      <c r="B102" s="3" t="s">
        <v>61</v>
      </c>
      <c r="C102" s="26"/>
      <c r="D102" s="51"/>
      <c r="E102" s="38">
        <f>E100-E101</f>
        <v>-17950</v>
      </c>
    </row>
    <row r="103" spans="2:5" x14ac:dyDescent="0.25">
      <c r="D103" s="48"/>
    </row>
    <row r="104" spans="2:5" x14ac:dyDescent="0.25">
      <c r="B104" s="19" t="s">
        <v>68</v>
      </c>
      <c r="C104" s="36">
        <f>653431000/200</f>
        <v>3267155</v>
      </c>
      <c r="D104" s="48"/>
    </row>
    <row r="105" spans="2:5" x14ac:dyDescent="0.25">
      <c r="D105" s="48"/>
    </row>
    <row r="106" spans="2:5" x14ac:dyDescent="0.25">
      <c r="B106" s="3" t="s">
        <v>63</v>
      </c>
      <c r="D106" s="47"/>
      <c r="E106" s="34">
        <f>5480681/200</f>
        <v>27403.404999999999</v>
      </c>
    </row>
    <row r="107" spans="2:5" ht="16.5" thickBot="1" x14ac:dyDescent="0.3">
      <c r="B107" s="3" t="s">
        <v>64</v>
      </c>
      <c r="D107" s="47"/>
      <c r="E107" s="34">
        <f>5481323/200</f>
        <v>27406.615000000002</v>
      </c>
    </row>
    <row r="108" spans="2:5" x14ac:dyDescent="0.25">
      <c r="C108" s="26"/>
      <c r="D108" s="52"/>
      <c r="E108" s="38">
        <f>E106-E107</f>
        <v>-3.2100000000027649</v>
      </c>
    </row>
    <row r="109" spans="2:5" ht="16.5" thickBot="1" x14ac:dyDescent="0.3">
      <c r="D109" s="49"/>
    </row>
    <row r="110" spans="2:5" ht="21" x14ac:dyDescent="0.35">
      <c r="B110" s="39" t="s">
        <v>54</v>
      </c>
      <c r="C110" s="40">
        <f>SUM(C97:C109)</f>
        <v>5372040</v>
      </c>
      <c r="D110" s="50">
        <f>SUM(D97:D109)</f>
        <v>538000</v>
      </c>
      <c r="E110" s="41">
        <f>SUM(E108,E102)</f>
        <v>-17953.210000000003</v>
      </c>
    </row>
    <row r="111" spans="2:5" x14ac:dyDescent="0.25">
      <c r="D111" s="35"/>
    </row>
    <row r="112" spans="2:5" ht="18.75" x14ac:dyDescent="0.25">
      <c r="B112" s="97" t="s">
        <v>70</v>
      </c>
      <c r="C112" s="97"/>
      <c r="D112" s="97"/>
      <c r="E112" s="97"/>
    </row>
    <row r="113" spans="2:5" ht="18.75" x14ac:dyDescent="0.25">
      <c r="B113" s="97" t="s">
        <v>69</v>
      </c>
      <c r="C113" s="97"/>
      <c r="D113" s="97"/>
      <c r="E113" s="97"/>
    </row>
  </sheetData>
  <mergeCells count="20">
    <mergeCell ref="C49:E50"/>
    <mergeCell ref="B62:E62"/>
    <mergeCell ref="B63:E63"/>
    <mergeCell ref="C66:E67"/>
    <mergeCell ref="B64:E64"/>
    <mergeCell ref="B46:E46"/>
    <mergeCell ref="B1:E2"/>
    <mergeCell ref="B15:E15"/>
    <mergeCell ref="B16:E16"/>
    <mergeCell ref="B17:E17"/>
    <mergeCell ref="B18:E18"/>
    <mergeCell ref="C20:E21"/>
    <mergeCell ref="B5:E5"/>
    <mergeCell ref="A4:B4"/>
    <mergeCell ref="B14:E14"/>
    <mergeCell ref="B93:E93"/>
    <mergeCell ref="B94:E94"/>
    <mergeCell ref="B112:E112"/>
    <mergeCell ref="B113:E113"/>
    <mergeCell ref="B82:C82"/>
  </mergeCells>
  <pageMargins left="0.45" right="0.45" top="0.25" bottom="0.25" header="0.05" footer="0.05"/>
  <pageSetup scale="85" orientation="portrait" horizontalDpi="0" verticalDpi="0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D7696-7BC1-4C7D-8826-D77FF540A919}">
  <dimension ref="A2:I16"/>
  <sheetViews>
    <sheetView tabSelected="1" workbookViewId="0">
      <selection activeCell="H23" sqref="H23"/>
    </sheetView>
  </sheetViews>
  <sheetFormatPr defaultRowHeight="15" x14ac:dyDescent="0.25"/>
  <cols>
    <col min="1" max="1" width="18.5703125" customWidth="1"/>
    <col min="3" max="4" width="12.7109375" customWidth="1"/>
    <col min="8" max="8" width="25.7109375" customWidth="1"/>
    <col min="9" max="9" width="16.5703125" customWidth="1"/>
  </cols>
  <sheetData>
    <row r="2" spans="1:9" s="53" customFormat="1" ht="26.25" customHeight="1" thickBot="1" x14ac:dyDescent="0.3">
      <c r="C2" s="66" t="s">
        <v>74</v>
      </c>
      <c r="D2" s="67" t="s">
        <v>75</v>
      </c>
    </row>
    <row r="3" spans="1:9" ht="15.75" x14ac:dyDescent="0.25">
      <c r="A3" s="3" t="s">
        <v>80</v>
      </c>
      <c r="C3" s="1">
        <v>62</v>
      </c>
      <c r="D3" s="61">
        <v>31</v>
      </c>
      <c r="H3" s="121" t="s">
        <v>110</v>
      </c>
      <c r="I3" s="121"/>
    </row>
    <row r="4" spans="1:9" ht="16.5" thickBot="1" x14ac:dyDescent="0.3">
      <c r="A4" s="57" t="s">
        <v>81</v>
      </c>
      <c r="B4" s="58"/>
      <c r="C4" s="69">
        <v>80000</v>
      </c>
      <c r="D4" s="70">
        <v>64000</v>
      </c>
      <c r="H4" t="s">
        <v>107</v>
      </c>
      <c r="I4" s="35">
        <v>388249319</v>
      </c>
    </row>
    <row r="5" spans="1:9" ht="15.75" x14ac:dyDescent="0.25">
      <c r="A5" s="3"/>
      <c r="C5" s="54"/>
      <c r="D5" s="62"/>
      <c r="H5" t="s">
        <v>108</v>
      </c>
      <c r="I5" s="35">
        <v>34644686</v>
      </c>
    </row>
    <row r="6" spans="1:9" ht="15.75" x14ac:dyDescent="0.25">
      <c r="A6" s="3" t="s">
        <v>73</v>
      </c>
      <c r="C6" s="55">
        <v>666.4</v>
      </c>
      <c r="D6" s="63">
        <v>445</v>
      </c>
      <c r="H6" t="s">
        <v>109</v>
      </c>
      <c r="I6" s="35">
        <v>41829205</v>
      </c>
    </row>
    <row r="7" spans="1:9" ht="16.5" thickBot="1" x14ac:dyDescent="0.3">
      <c r="A7" s="57" t="s">
        <v>79</v>
      </c>
      <c r="B7" s="58"/>
      <c r="C7" s="59">
        <v>418.3</v>
      </c>
      <c r="D7" s="64">
        <v>348.7</v>
      </c>
      <c r="H7" s="123"/>
      <c r="I7" s="81">
        <f>SUM(I4:I6)</f>
        <v>464723210</v>
      </c>
    </row>
    <row r="8" spans="1:9" ht="15.75" x14ac:dyDescent="0.25">
      <c r="A8" s="3" t="s">
        <v>82</v>
      </c>
      <c r="C8" s="55">
        <f>C6-C7</f>
        <v>248.09999999999997</v>
      </c>
      <c r="D8" s="63">
        <f>D6-D7</f>
        <v>96.300000000000011</v>
      </c>
      <c r="H8" s="122" t="s">
        <v>89</v>
      </c>
      <c r="I8" s="36">
        <f>129490953+9055876+4703230</f>
        <v>143250059</v>
      </c>
    </row>
    <row r="9" spans="1:9" ht="15.75" x14ac:dyDescent="0.25">
      <c r="A9" s="3"/>
      <c r="D9" s="63"/>
      <c r="H9" s="75" t="s">
        <v>105</v>
      </c>
      <c r="I9" s="81">
        <f>SUM(I7:I8)</f>
        <v>607973269</v>
      </c>
    </row>
    <row r="10" spans="1:9" ht="15.75" x14ac:dyDescent="0.25">
      <c r="A10" s="3" t="s">
        <v>76</v>
      </c>
      <c r="C10" s="55">
        <v>58.5</v>
      </c>
      <c r="D10" s="63">
        <v>56.8</v>
      </c>
    </row>
    <row r="11" spans="1:9" ht="16.5" thickBot="1" x14ac:dyDescent="0.3">
      <c r="A11" s="3" t="s">
        <v>78</v>
      </c>
      <c r="C11" s="59">
        <v>151.1</v>
      </c>
      <c r="D11" s="64">
        <v>60.5</v>
      </c>
    </row>
    <row r="12" spans="1:9" ht="15.75" x14ac:dyDescent="0.25">
      <c r="A12" s="56" t="s">
        <v>82</v>
      </c>
      <c r="B12" s="26"/>
      <c r="C12" s="68">
        <f>C10-C11</f>
        <v>-92.6</v>
      </c>
      <c r="D12" s="65">
        <f>D10-D11</f>
        <v>-3.7000000000000028</v>
      </c>
    </row>
    <row r="13" spans="1:9" ht="15.75" x14ac:dyDescent="0.25">
      <c r="A13" s="3"/>
      <c r="C13" s="60"/>
      <c r="D13" s="65"/>
    </row>
    <row r="14" spans="1:9" ht="15.75" x14ac:dyDescent="0.25">
      <c r="A14" s="3" t="s">
        <v>83</v>
      </c>
      <c r="C14" s="60">
        <v>100.4</v>
      </c>
      <c r="D14" s="65">
        <v>114.1</v>
      </c>
    </row>
    <row r="15" spans="1:9" ht="15.75" x14ac:dyDescent="0.25">
      <c r="A15" s="3"/>
      <c r="C15" s="55"/>
      <c r="D15" s="63"/>
    </row>
    <row r="16" spans="1:9" ht="15.75" x14ac:dyDescent="0.25">
      <c r="A16" s="3" t="s">
        <v>77</v>
      </c>
      <c r="C16" s="55">
        <f>I9/1000000</f>
        <v>607.97326899999996</v>
      </c>
      <c r="D16" s="63">
        <v>1074.4000000000001</v>
      </c>
    </row>
  </sheetData>
  <mergeCells count="1">
    <mergeCell ref="H3:I3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D2DF8-6F38-492F-8C0F-06DF54101D0D}">
  <sheetPr>
    <pageSetUpPr fitToPage="1"/>
  </sheetPr>
  <dimension ref="A2:Q43"/>
  <sheetViews>
    <sheetView zoomScale="90" zoomScaleNormal="90" workbookViewId="0">
      <pane xSplit="1" topLeftCell="D1" activePane="topRight" state="frozen"/>
      <selection pane="topRight" activeCell="I17" sqref="I17:I22"/>
    </sheetView>
  </sheetViews>
  <sheetFormatPr defaultRowHeight="15.75" x14ac:dyDescent="0.25"/>
  <cols>
    <col min="1" max="1" width="32.28515625" style="71" customWidth="1"/>
    <col min="2" max="3" width="15.7109375" customWidth="1"/>
    <col min="4" max="6" width="12.7109375" customWidth="1"/>
    <col min="7" max="8" width="15.7109375" customWidth="1"/>
    <col min="9" max="9" width="18.42578125" customWidth="1"/>
    <col min="10" max="10" width="17.7109375" customWidth="1"/>
    <col min="11" max="11" width="18.28515625" customWidth="1"/>
    <col min="12" max="12" width="17.7109375" customWidth="1"/>
    <col min="13" max="13" width="16.85546875" customWidth="1"/>
    <col min="14" max="14" width="18" customWidth="1"/>
    <col min="15" max="15" width="18.42578125" customWidth="1"/>
    <col min="16" max="17" width="19.5703125" customWidth="1"/>
  </cols>
  <sheetData>
    <row r="2" spans="1:17" s="89" customFormat="1" ht="19.5" thickBot="1" x14ac:dyDescent="0.35">
      <c r="A2" s="86"/>
      <c r="B2" s="87">
        <v>2009</v>
      </c>
      <c r="C2" s="88">
        <v>2010</v>
      </c>
      <c r="D2" s="88">
        <v>2011</v>
      </c>
      <c r="E2" s="88">
        <v>2012</v>
      </c>
      <c r="F2" s="88">
        <v>2013</v>
      </c>
      <c r="G2" s="88">
        <v>2014</v>
      </c>
      <c r="H2" s="88">
        <v>2015</v>
      </c>
      <c r="I2" s="88">
        <v>2016</v>
      </c>
      <c r="J2" s="88">
        <v>2017</v>
      </c>
      <c r="K2" s="88">
        <v>2018</v>
      </c>
      <c r="L2" s="88">
        <v>2019</v>
      </c>
      <c r="M2" s="88">
        <v>2020</v>
      </c>
      <c r="N2" s="88">
        <v>2021</v>
      </c>
      <c r="O2" s="88">
        <v>2022</v>
      </c>
      <c r="P2" s="88">
        <v>2023</v>
      </c>
      <c r="Q2" s="88">
        <v>2024</v>
      </c>
    </row>
    <row r="4" spans="1:17" x14ac:dyDescent="0.25">
      <c r="A4" s="2" t="s">
        <v>73</v>
      </c>
      <c r="B4" s="35"/>
      <c r="C4" s="35">
        <v>157646845</v>
      </c>
      <c r="D4" s="35"/>
      <c r="E4" s="35"/>
      <c r="F4" s="35"/>
      <c r="G4" s="35">
        <v>214554762</v>
      </c>
      <c r="H4" s="35">
        <v>235605927</v>
      </c>
      <c r="I4" s="35">
        <v>187150956</v>
      </c>
      <c r="J4" s="35">
        <v>195866570</v>
      </c>
      <c r="K4" s="35">
        <v>317400719</v>
      </c>
      <c r="L4" s="35">
        <v>322374252</v>
      </c>
      <c r="M4" s="35">
        <v>322282510</v>
      </c>
      <c r="N4" s="35">
        <v>351531050</v>
      </c>
      <c r="O4" s="35">
        <v>353866505</v>
      </c>
      <c r="P4" s="35">
        <v>425899375</v>
      </c>
      <c r="Q4" s="35">
        <f>444979029-Q5</f>
        <v>337377077</v>
      </c>
    </row>
    <row r="5" spans="1:17" x14ac:dyDescent="0.25">
      <c r="A5" s="2" t="s">
        <v>85</v>
      </c>
      <c r="B5" s="35"/>
      <c r="C5" s="35">
        <f>5727446+20392823</f>
        <v>26120269</v>
      </c>
      <c r="D5" s="35"/>
      <c r="E5" s="35"/>
      <c r="F5" s="35"/>
      <c r="G5" s="35"/>
      <c r="H5" s="35"/>
      <c r="I5" s="35">
        <v>53110253</v>
      </c>
      <c r="J5" s="35">
        <v>54341533</v>
      </c>
      <c r="K5" s="35"/>
      <c r="L5" s="35"/>
      <c r="M5" s="35"/>
      <c r="N5" s="35"/>
      <c r="O5" s="35"/>
      <c r="P5" s="35"/>
      <c r="Q5" s="35">
        <f>103448071+4153881</f>
        <v>107601952</v>
      </c>
    </row>
    <row r="6" spans="1:17" s="71" customFormat="1" x14ac:dyDescent="0.25">
      <c r="A6" s="2" t="s">
        <v>84</v>
      </c>
      <c r="B6" s="81">
        <f>0.989*C6</f>
        <v>181745675.74599999</v>
      </c>
      <c r="C6" s="81">
        <f>SUM(C4:C5)</f>
        <v>183767114</v>
      </c>
      <c r="D6" s="81"/>
      <c r="E6" s="81"/>
      <c r="F6" s="81"/>
      <c r="G6" s="81">
        <f t="shared" ref="G6:I6" si="0">SUM(G4:G5)</f>
        <v>214554762</v>
      </c>
      <c r="H6" s="81">
        <f t="shared" si="0"/>
        <v>235605927</v>
      </c>
      <c r="I6" s="81">
        <f t="shared" si="0"/>
        <v>240261209</v>
      </c>
      <c r="J6" s="81">
        <f>SUM(J4:J5)</f>
        <v>250208103</v>
      </c>
      <c r="K6" s="81">
        <f t="shared" ref="K6:N6" si="1">SUM(K4:K5)</f>
        <v>317400719</v>
      </c>
      <c r="L6" s="81">
        <f t="shared" si="1"/>
        <v>322374252</v>
      </c>
      <c r="M6" s="81">
        <f t="shared" si="1"/>
        <v>322282510</v>
      </c>
      <c r="N6" s="81">
        <f t="shared" si="1"/>
        <v>351531050</v>
      </c>
      <c r="O6" s="81">
        <f t="shared" ref="O6" si="2">SUM(O4:O5)</f>
        <v>353866505</v>
      </c>
      <c r="P6" s="81">
        <f t="shared" ref="P6" si="3">SUM(P4:P5)</f>
        <v>425899375</v>
      </c>
      <c r="Q6" s="81">
        <f>SUM(Q4:Q5)</f>
        <v>444979029</v>
      </c>
    </row>
    <row r="7" spans="1:17" x14ac:dyDescent="0.25"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</row>
    <row r="8" spans="1:17" s="73" customFormat="1" x14ac:dyDescent="0.25">
      <c r="A8" s="71" t="s">
        <v>86</v>
      </c>
      <c r="B8" s="85">
        <f>C8+528839</f>
        <v>147910158</v>
      </c>
      <c r="C8" s="85">
        <v>147381319</v>
      </c>
      <c r="D8" s="85"/>
      <c r="E8" s="85"/>
      <c r="F8" s="85"/>
      <c r="G8" s="85">
        <v>181904327</v>
      </c>
      <c r="H8" s="85">
        <v>195817168</v>
      </c>
      <c r="I8" s="85">
        <v>202170882</v>
      </c>
      <c r="J8" s="85">
        <v>204666489</v>
      </c>
      <c r="K8" s="85">
        <v>269280628</v>
      </c>
      <c r="L8" s="85">
        <v>266658909</v>
      </c>
      <c r="M8" s="85">
        <v>270290353</v>
      </c>
      <c r="N8" s="85">
        <v>264590675</v>
      </c>
      <c r="O8" s="85">
        <v>263219574</v>
      </c>
      <c r="P8" s="85">
        <v>349202079</v>
      </c>
      <c r="Q8" s="85">
        <v>348753890</v>
      </c>
    </row>
    <row r="9" spans="1:17" s="71" customFormat="1" x14ac:dyDescent="0.25">
      <c r="A9" s="75" t="s">
        <v>96</v>
      </c>
      <c r="B9" s="34">
        <f>B6-B8</f>
        <v>33835517.745999992</v>
      </c>
      <c r="C9" s="34">
        <f>C6-C8</f>
        <v>36385795</v>
      </c>
      <c r="D9" s="34"/>
      <c r="E9" s="34"/>
      <c r="F9" s="34"/>
      <c r="G9" s="34">
        <f t="shared" ref="G9:H9" si="4">G6-G8</f>
        <v>32650435</v>
      </c>
      <c r="H9" s="34">
        <f t="shared" si="4"/>
        <v>39788759</v>
      </c>
      <c r="I9" s="34">
        <f t="shared" ref="I9:N9" si="5">I6-I8</f>
        <v>38090327</v>
      </c>
      <c r="J9" s="34">
        <f t="shared" si="5"/>
        <v>45541614</v>
      </c>
      <c r="K9" s="34">
        <f t="shared" si="5"/>
        <v>48120091</v>
      </c>
      <c r="L9" s="34">
        <f t="shared" si="5"/>
        <v>55715343</v>
      </c>
      <c r="M9" s="34">
        <f t="shared" si="5"/>
        <v>51992157</v>
      </c>
      <c r="N9" s="34">
        <f t="shared" si="5"/>
        <v>86940375</v>
      </c>
      <c r="O9" s="34">
        <f t="shared" ref="O9:P9" si="6">O6-O8</f>
        <v>90646931</v>
      </c>
      <c r="P9" s="34">
        <f t="shared" si="6"/>
        <v>76697296</v>
      </c>
      <c r="Q9" s="34">
        <f>Q6-Q8</f>
        <v>96225139</v>
      </c>
    </row>
    <row r="10" spans="1:17" x14ac:dyDescent="0.25"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</row>
    <row r="11" spans="1:17" x14ac:dyDescent="0.25">
      <c r="A11" s="71" t="s">
        <v>99</v>
      </c>
      <c r="B11" s="35">
        <f>C11*1.0264</f>
        <v>42975826.800799996</v>
      </c>
      <c r="C11" s="35">
        <v>41870447</v>
      </c>
      <c r="D11" s="35"/>
      <c r="E11" s="35"/>
      <c r="F11" s="35"/>
      <c r="G11" s="35">
        <v>50208137</v>
      </c>
      <c r="H11" s="35">
        <v>51075570</v>
      </c>
      <c r="I11" s="35">
        <v>53034000</v>
      </c>
      <c r="J11" s="35">
        <v>54252035</v>
      </c>
      <c r="K11" s="35">
        <v>56911508</v>
      </c>
      <c r="L11" s="35">
        <v>59499530</v>
      </c>
      <c r="M11" s="35">
        <v>64345787</v>
      </c>
      <c r="N11" s="93">
        <v>79085600</v>
      </c>
      <c r="O11" s="35">
        <v>50735173</v>
      </c>
      <c r="P11" s="93">
        <v>112610904</v>
      </c>
      <c r="Q11" s="35">
        <v>56880000</v>
      </c>
    </row>
    <row r="12" spans="1:17" x14ac:dyDescent="0.25">
      <c r="A12" s="71" t="s">
        <v>100</v>
      </c>
      <c r="B12" s="35">
        <f>C12*1.3539</f>
        <v>53270057.934300005</v>
      </c>
      <c r="C12" s="35">
        <v>39345637</v>
      </c>
      <c r="D12" s="35"/>
      <c r="E12" s="35"/>
      <c r="F12" s="35"/>
      <c r="G12" s="35">
        <v>42286798</v>
      </c>
      <c r="H12" s="35">
        <v>43996192</v>
      </c>
      <c r="I12" s="35">
        <v>46404802</v>
      </c>
      <c r="J12" s="35">
        <v>55249943</v>
      </c>
      <c r="K12" s="35">
        <v>56377086</v>
      </c>
      <c r="L12" s="35">
        <v>54011946</v>
      </c>
      <c r="M12" s="35">
        <v>51736555</v>
      </c>
      <c r="N12" s="35">
        <v>54780452</v>
      </c>
      <c r="O12" s="35">
        <v>63784854</v>
      </c>
      <c r="P12" s="35">
        <v>115272150</v>
      </c>
      <c r="Q12" s="35">
        <v>60470000</v>
      </c>
    </row>
    <row r="13" spans="1:17" x14ac:dyDescent="0.25">
      <c r="B13" s="74">
        <f>B11-B12</f>
        <v>-10294231.13350001</v>
      </c>
      <c r="C13" s="74">
        <f>C11-C12</f>
        <v>2524810</v>
      </c>
      <c r="D13" s="72"/>
      <c r="E13" s="72"/>
      <c r="F13" s="72"/>
      <c r="G13" s="74">
        <f t="shared" ref="G13:M13" si="7">G11-G12</f>
        <v>7921339</v>
      </c>
      <c r="H13" s="74">
        <f t="shared" si="7"/>
        <v>7079378</v>
      </c>
      <c r="I13" s="74">
        <f t="shared" si="7"/>
        <v>6629198</v>
      </c>
      <c r="J13" s="74">
        <f t="shared" si="7"/>
        <v>-997908</v>
      </c>
      <c r="K13" s="74">
        <f t="shared" si="7"/>
        <v>534422</v>
      </c>
      <c r="L13" s="74">
        <f t="shared" si="7"/>
        <v>5487584</v>
      </c>
      <c r="M13" s="74">
        <f t="shared" si="7"/>
        <v>12609232</v>
      </c>
      <c r="N13" s="74">
        <f>N11-N12</f>
        <v>24305148</v>
      </c>
      <c r="O13" s="74">
        <f>O11-O12</f>
        <v>-13049681</v>
      </c>
      <c r="P13" s="74">
        <f>P11-P12</f>
        <v>-2661246</v>
      </c>
      <c r="Q13" s="74">
        <f t="shared" ref="Q13" si="8">Q11-Q12</f>
        <v>-3590000</v>
      </c>
    </row>
    <row r="14" spans="1:17" x14ac:dyDescent="0.25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1:17" x14ac:dyDescent="0.25">
      <c r="A15" s="71" t="s">
        <v>98</v>
      </c>
      <c r="B15" s="35"/>
      <c r="C15" s="35">
        <f>5727446+20392823</f>
        <v>26120269</v>
      </c>
      <c r="D15" s="35"/>
      <c r="E15" s="35"/>
      <c r="F15" s="35"/>
      <c r="G15" s="35"/>
      <c r="H15" s="35">
        <f>39306099+1427196</f>
        <v>40733295</v>
      </c>
      <c r="I15" s="35">
        <v>10649646</v>
      </c>
      <c r="J15" s="35">
        <v>38022450</v>
      </c>
      <c r="K15" s="35">
        <f>100578943+5498961</f>
        <v>106077904</v>
      </c>
      <c r="L15" s="35">
        <f>71358773+3942487</f>
        <v>75301260</v>
      </c>
      <c r="M15" s="35">
        <f>61322168+2990490</f>
        <v>64312658</v>
      </c>
      <c r="N15" s="35">
        <f>72489940+2695593</f>
        <v>75185533</v>
      </c>
      <c r="O15" s="35">
        <v>82223814</v>
      </c>
      <c r="P15" s="35">
        <f>112701432+4879052</f>
        <v>117580484</v>
      </c>
      <c r="Q15" s="35">
        <f>103447071+4153881</f>
        <v>107600952</v>
      </c>
    </row>
    <row r="16" spans="1:17" x14ac:dyDescent="0.25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</row>
    <row r="17" spans="1:17" x14ac:dyDescent="0.25">
      <c r="A17" s="71" t="s">
        <v>87</v>
      </c>
      <c r="B17" s="35"/>
      <c r="C17" s="35">
        <v>56193876</v>
      </c>
      <c r="D17" s="35"/>
      <c r="E17" s="35"/>
      <c r="F17" s="35"/>
      <c r="G17" s="35"/>
      <c r="H17" s="35">
        <f>24605000+5390000+26985000+23790000+12255000</f>
        <v>93025000</v>
      </c>
      <c r="I17" s="35">
        <v>90825000</v>
      </c>
      <c r="J17" s="35">
        <v>90455000</v>
      </c>
      <c r="K17" s="35">
        <v>157780000</v>
      </c>
      <c r="L17" s="35">
        <v>154960000</v>
      </c>
      <c r="M17" s="35">
        <v>158615000</v>
      </c>
      <c r="N17" s="35">
        <v>153650000</v>
      </c>
      <c r="O17" s="35">
        <v>147915000</v>
      </c>
      <c r="P17" s="35">
        <v>220770000</v>
      </c>
      <c r="Q17" s="35">
        <v>214860000</v>
      </c>
    </row>
    <row r="18" spans="1:17" x14ac:dyDescent="0.25">
      <c r="A18" s="71" t="s">
        <v>101</v>
      </c>
      <c r="B18" s="35"/>
      <c r="C18" s="35">
        <v>87671654</v>
      </c>
      <c r="D18" s="35"/>
      <c r="E18" s="35"/>
      <c r="F18" s="35"/>
      <c r="G18" s="35"/>
      <c r="H18" s="35">
        <f>11425000+50510000+5425000+16620000</f>
        <v>83980000</v>
      </c>
      <c r="I18" s="35">
        <v>84390000</v>
      </c>
      <c r="J18" s="35">
        <v>82865000</v>
      </c>
      <c r="K18" s="35">
        <v>81295000</v>
      </c>
      <c r="L18" s="35">
        <v>80955000</v>
      </c>
      <c r="M18" s="35">
        <v>80655000</v>
      </c>
      <c r="N18" s="35">
        <v>77925000</v>
      </c>
      <c r="O18" s="35">
        <v>75110000</v>
      </c>
      <c r="P18" s="35">
        <v>72195000</v>
      </c>
      <c r="Q18" s="35">
        <v>69205000</v>
      </c>
    </row>
    <row r="19" spans="1:17" x14ac:dyDescent="0.25">
      <c r="A19" s="71" t="s">
        <v>88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>
        <v>10402000</v>
      </c>
    </row>
    <row r="20" spans="1:17" s="71" customFormat="1" x14ac:dyDescent="0.25">
      <c r="A20" s="75" t="s">
        <v>90</v>
      </c>
      <c r="B20" s="81"/>
      <c r="C20" s="81">
        <f>SUM(C17:C19)</f>
        <v>143865530</v>
      </c>
      <c r="D20" s="81"/>
      <c r="E20" s="81"/>
      <c r="F20" s="81"/>
      <c r="G20" s="81"/>
      <c r="H20" s="81">
        <f t="shared" ref="H20:Q20" si="9">SUM(H17:H19)</f>
        <v>177005000</v>
      </c>
      <c r="I20" s="81">
        <f t="shared" si="9"/>
        <v>175215000</v>
      </c>
      <c r="J20" s="81">
        <f t="shared" si="9"/>
        <v>173320000</v>
      </c>
      <c r="K20" s="81">
        <f t="shared" si="9"/>
        <v>239075000</v>
      </c>
      <c r="L20" s="81">
        <f t="shared" si="9"/>
        <v>235915000</v>
      </c>
      <c r="M20" s="81">
        <f t="shared" si="9"/>
        <v>239270000</v>
      </c>
      <c r="N20" s="81">
        <f t="shared" si="9"/>
        <v>231575000</v>
      </c>
      <c r="O20" s="81">
        <f t="shared" si="9"/>
        <v>223025000</v>
      </c>
      <c r="P20" s="81">
        <f t="shared" si="9"/>
        <v>292965000</v>
      </c>
      <c r="Q20" s="81">
        <f t="shared" si="9"/>
        <v>294467000</v>
      </c>
    </row>
    <row r="21" spans="1:17" x14ac:dyDescent="0.25">
      <c r="A21" s="77" t="s">
        <v>89</v>
      </c>
      <c r="B21" s="35"/>
      <c r="C21" s="35"/>
      <c r="D21" s="35"/>
      <c r="E21" s="35"/>
      <c r="F21" s="35"/>
      <c r="G21" s="35"/>
      <c r="H21" s="78">
        <v>110958121</v>
      </c>
      <c r="I21" s="78">
        <f>49030900+65848653</f>
        <v>114879553</v>
      </c>
      <c r="J21" s="78">
        <f>111764981+59980526</f>
        <v>171745507</v>
      </c>
      <c r="K21" s="78">
        <f>104802215+54156810</f>
        <v>158959025</v>
      </c>
      <c r="L21" s="78">
        <f>97795558+54723969</f>
        <v>152519527</v>
      </c>
      <c r="M21" s="78">
        <f>79049553+30776449</f>
        <v>109826002</v>
      </c>
      <c r="N21" s="78">
        <f>66694226+27499943</f>
        <v>94194169</v>
      </c>
      <c r="O21" s="78">
        <v>86848191</v>
      </c>
      <c r="P21" s="78">
        <f>113256357+21749222</f>
        <v>135005579</v>
      </c>
      <c r="Q21" s="78">
        <v>126510000</v>
      </c>
    </row>
    <row r="22" spans="1:17" s="71" customFormat="1" x14ac:dyDescent="0.25">
      <c r="A22" s="76" t="s">
        <v>6</v>
      </c>
      <c r="B22" s="81"/>
      <c r="C22" s="81"/>
      <c r="D22" s="81"/>
      <c r="E22" s="81"/>
      <c r="F22" s="81"/>
      <c r="G22" s="81"/>
      <c r="H22" s="81">
        <f t="shared" ref="H22:Q22" si="10">SUM(H20:H21)</f>
        <v>287963121</v>
      </c>
      <c r="I22" s="81">
        <f t="shared" si="10"/>
        <v>290094553</v>
      </c>
      <c r="J22" s="81">
        <f t="shared" si="10"/>
        <v>345065507</v>
      </c>
      <c r="K22" s="81">
        <f t="shared" si="10"/>
        <v>398034025</v>
      </c>
      <c r="L22" s="81">
        <f t="shared" si="10"/>
        <v>388434527</v>
      </c>
      <c r="M22" s="81">
        <f t="shared" si="10"/>
        <v>349096002</v>
      </c>
      <c r="N22" s="81">
        <f t="shared" si="10"/>
        <v>325769169</v>
      </c>
      <c r="O22" s="81">
        <f t="shared" si="10"/>
        <v>309873191</v>
      </c>
      <c r="P22" s="81">
        <f t="shared" si="10"/>
        <v>427970579</v>
      </c>
      <c r="Q22" s="81">
        <f t="shared" si="10"/>
        <v>420977000</v>
      </c>
    </row>
    <row r="23" spans="1:17" x14ac:dyDescent="0.25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x14ac:dyDescent="0.25"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x14ac:dyDescent="0.25">
      <c r="A25" s="3" t="s">
        <v>7</v>
      </c>
      <c r="B25" s="35"/>
      <c r="C25" s="35"/>
      <c r="D25" s="35"/>
      <c r="E25" s="35"/>
      <c r="F25" s="35"/>
      <c r="G25" s="35"/>
      <c r="I25" s="35">
        <v>33655739</v>
      </c>
      <c r="J25" s="35">
        <v>50818465</v>
      </c>
      <c r="K25" s="35">
        <v>49572921</v>
      </c>
      <c r="L25" s="35">
        <v>48263149</v>
      </c>
      <c r="M25" s="35">
        <v>140823140</v>
      </c>
      <c r="N25" s="35">
        <v>138887482</v>
      </c>
      <c r="O25" s="35">
        <v>136127320</v>
      </c>
      <c r="P25" s="35">
        <v>191555094</v>
      </c>
      <c r="Q25" s="35">
        <v>187650000</v>
      </c>
    </row>
    <row r="26" spans="1:17" x14ac:dyDescent="0.25">
      <c r="A26" s="3" t="s">
        <v>8</v>
      </c>
      <c r="B26" s="35"/>
      <c r="C26" s="35"/>
      <c r="D26" s="35"/>
      <c r="E26" s="35"/>
      <c r="F26" s="35"/>
      <c r="G26" s="35"/>
      <c r="H26" s="35"/>
      <c r="I26" s="35">
        <v>92855000</v>
      </c>
      <c r="J26" s="35">
        <v>92495000</v>
      </c>
      <c r="K26" s="35">
        <v>93830000</v>
      </c>
      <c r="L26" s="35">
        <f>91180000</f>
        <v>91180000</v>
      </c>
      <c r="M26" s="35">
        <v>144750000</v>
      </c>
      <c r="N26" s="35">
        <v>144505000</v>
      </c>
      <c r="O26" s="35">
        <v>144245000</v>
      </c>
      <c r="P26" s="35">
        <v>142775000</v>
      </c>
      <c r="Q26" s="35">
        <v>205180000</v>
      </c>
    </row>
    <row r="27" spans="1:17" x14ac:dyDescent="0.25">
      <c r="A27" s="3" t="s">
        <v>9</v>
      </c>
      <c r="B27" s="35"/>
      <c r="C27" s="35"/>
      <c r="D27" s="35"/>
      <c r="E27" s="35"/>
      <c r="F27" s="35"/>
      <c r="G27" s="35"/>
      <c r="H27" s="35"/>
      <c r="I27" s="35"/>
      <c r="J27" s="35">
        <v>30156000</v>
      </c>
      <c r="K27" s="35">
        <v>27385000</v>
      </c>
      <c r="L27" s="35">
        <v>24740000</v>
      </c>
      <c r="M27" s="35">
        <v>22010000</v>
      </c>
      <c r="N27" s="35">
        <v>19200000</v>
      </c>
      <c r="O27" s="35">
        <v>16285000</v>
      </c>
      <c r="P27" s="35">
        <v>14690000</v>
      </c>
      <c r="Q27" s="35">
        <v>13055000</v>
      </c>
    </row>
    <row r="28" spans="1:17" s="71" customFormat="1" x14ac:dyDescent="0.25">
      <c r="A28" s="75" t="s">
        <v>90</v>
      </c>
      <c r="B28" s="81"/>
      <c r="C28" s="81"/>
      <c r="D28" s="81"/>
      <c r="E28" s="81"/>
      <c r="F28" s="81"/>
      <c r="G28" s="81"/>
      <c r="H28" s="81"/>
      <c r="I28" s="81">
        <f t="shared" ref="I28:N28" si="11">SUM(I25:I27)</f>
        <v>126510739</v>
      </c>
      <c r="J28" s="81">
        <f t="shared" si="11"/>
        <v>173469465</v>
      </c>
      <c r="K28" s="81">
        <f t="shared" si="11"/>
        <v>170787921</v>
      </c>
      <c r="L28" s="81">
        <f t="shared" si="11"/>
        <v>164183149</v>
      </c>
      <c r="M28" s="81">
        <f t="shared" si="11"/>
        <v>307583140</v>
      </c>
      <c r="N28" s="81">
        <f t="shared" si="11"/>
        <v>302592482</v>
      </c>
      <c r="O28" s="81">
        <f t="shared" ref="O28:P28" si="12">SUM(O25:O27)</f>
        <v>296657320</v>
      </c>
      <c r="P28" s="81">
        <f t="shared" si="12"/>
        <v>349020094</v>
      </c>
      <c r="Q28" s="81">
        <f>SUM(Q25:Q27)</f>
        <v>405885000</v>
      </c>
    </row>
    <row r="29" spans="1:17" x14ac:dyDescent="0.25">
      <c r="A29" s="77" t="s">
        <v>89</v>
      </c>
      <c r="B29" s="35"/>
      <c r="C29" s="35"/>
      <c r="D29" s="35"/>
      <c r="E29" s="35"/>
      <c r="F29" s="35"/>
      <c r="G29" s="35"/>
      <c r="H29" s="78"/>
      <c r="I29" s="78">
        <f>36164788+7199917</f>
        <v>43364705</v>
      </c>
      <c r="J29" s="91">
        <v>59475500</v>
      </c>
      <c r="K29" s="91">
        <v>70500000</v>
      </c>
      <c r="L29" s="78">
        <f>73750607+4851685</f>
        <v>78602292</v>
      </c>
      <c r="M29" s="78">
        <f>114529470+4189637</f>
        <v>118719107</v>
      </c>
      <c r="N29" s="78">
        <f>108355005+57765530</f>
        <v>166120535</v>
      </c>
      <c r="O29" s="78">
        <v>162118222</v>
      </c>
      <c r="P29" s="78">
        <v>197275752</v>
      </c>
      <c r="Q29" s="78">
        <v>400505000</v>
      </c>
    </row>
    <row r="30" spans="1:17" s="71" customFormat="1" x14ac:dyDescent="0.25">
      <c r="A30" s="76" t="s">
        <v>6</v>
      </c>
      <c r="B30" s="81"/>
      <c r="C30" s="81"/>
      <c r="D30" s="81"/>
      <c r="E30" s="81"/>
      <c r="F30" s="81"/>
      <c r="G30" s="81"/>
      <c r="H30" s="81"/>
      <c r="I30" s="81">
        <f t="shared" ref="I30:N30" si="13">SUM(I28:I29)</f>
        <v>169875444</v>
      </c>
      <c r="J30" s="81">
        <f t="shared" si="13"/>
        <v>232944965</v>
      </c>
      <c r="K30" s="81">
        <f t="shared" si="13"/>
        <v>241287921</v>
      </c>
      <c r="L30" s="81">
        <f t="shared" si="13"/>
        <v>242785441</v>
      </c>
      <c r="M30" s="81">
        <f t="shared" si="13"/>
        <v>426302247</v>
      </c>
      <c r="N30" s="81">
        <f t="shared" si="13"/>
        <v>468713017</v>
      </c>
      <c r="O30" s="81">
        <f t="shared" ref="O30:P30" si="14">SUM(O28:O29)</f>
        <v>458775542</v>
      </c>
      <c r="P30" s="81">
        <f t="shared" si="14"/>
        <v>546295846</v>
      </c>
      <c r="Q30" s="81">
        <f>SUM(Q28:Q29)</f>
        <v>806390000</v>
      </c>
    </row>
    <row r="31" spans="1:17" ht="19.5" thickBot="1" x14ac:dyDescent="0.3">
      <c r="A31" s="79"/>
    </row>
    <row r="32" spans="1:17" ht="18.75" x14ac:dyDescent="0.3">
      <c r="A32" s="80" t="s">
        <v>91</v>
      </c>
      <c r="B32" s="26"/>
      <c r="C32" s="26"/>
      <c r="D32" s="26"/>
      <c r="E32" s="26"/>
      <c r="F32" s="26"/>
      <c r="G32" s="26"/>
      <c r="H32" s="26"/>
      <c r="I32" s="82">
        <f>I22+I30</f>
        <v>459969997</v>
      </c>
      <c r="J32" s="82">
        <f>J22+J30</f>
        <v>578010472</v>
      </c>
      <c r="K32" s="82">
        <f>K22+K30</f>
        <v>639321946</v>
      </c>
      <c r="L32" s="82">
        <f>L22+L30</f>
        <v>631219968</v>
      </c>
      <c r="M32" s="82">
        <f t="shared" ref="M32:P32" si="15">M22+M30</f>
        <v>775398249</v>
      </c>
      <c r="N32" s="82">
        <f t="shared" si="15"/>
        <v>794482186</v>
      </c>
      <c r="O32" s="82">
        <f t="shared" si="15"/>
        <v>768648733</v>
      </c>
      <c r="P32" s="82">
        <f t="shared" si="15"/>
        <v>974266425</v>
      </c>
      <c r="Q32" s="82">
        <f>Q22+Q30</f>
        <v>1227367000</v>
      </c>
    </row>
    <row r="34" spans="1:17" x14ac:dyDescent="0.25">
      <c r="A34" s="84" t="s">
        <v>94</v>
      </c>
      <c r="C34" s="83" t="s">
        <v>95</v>
      </c>
      <c r="J34" s="83" t="s">
        <v>97</v>
      </c>
      <c r="Q34" s="83" t="s">
        <v>97</v>
      </c>
    </row>
    <row r="36" spans="1:17" s="71" customFormat="1" x14ac:dyDescent="0.25">
      <c r="A36" s="75" t="s">
        <v>102</v>
      </c>
      <c r="B36" s="90">
        <v>42800</v>
      </c>
      <c r="C36" s="90">
        <v>42938</v>
      </c>
      <c r="D36" s="90">
        <v>42938</v>
      </c>
      <c r="E36" s="90">
        <v>44972</v>
      </c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</row>
    <row r="37" spans="1:17" x14ac:dyDescent="0.25">
      <c r="J37" s="92" t="s">
        <v>103</v>
      </c>
      <c r="K37" s="94" t="s">
        <v>104</v>
      </c>
    </row>
    <row r="39" spans="1:17" ht="19.5" thickBot="1" x14ac:dyDescent="0.3">
      <c r="I39" s="88">
        <v>2016</v>
      </c>
      <c r="J39" s="88">
        <v>2017</v>
      </c>
      <c r="K39" s="88">
        <v>2018</v>
      </c>
      <c r="L39" s="88">
        <v>2019</v>
      </c>
      <c r="M39" s="88">
        <v>2020</v>
      </c>
      <c r="N39" s="88">
        <v>2021</v>
      </c>
      <c r="O39" s="88">
        <v>2022</v>
      </c>
      <c r="P39" s="88">
        <v>2023</v>
      </c>
      <c r="Q39" s="88">
        <v>2024</v>
      </c>
    </row>
    <row r="40" spans="1:17" x14ac:dyDescent="0.25">
      <c r="G40" s="119" t="s">
        <v>99</v>
      </c>
      <c r="H40" s="119"/>
      <c r="I40" s="35">
        <v>53034000</v>
      </c>
      <c r="J40" s="35">
        <v>54252035</v>
      </c>
      <c r="K40" s="35">
        <v>56911508</v>
      </c>
      <c r="L40" s="35">
        <v>59499530</v>
      </c>
      <c r="M40" s="35">
        <v>64345787</v>
      </c>
      <c r="N40" s="93">
        <v>79085600</v>
      </c>
      <c r="O40" s="35">
        <v>50735173</v>
      </c>
      <c r="P40" s="93">
        <v>112610904</v>
      </c>
      <c r="Q40" s="35">
        <v>56880000</v>
      </c>
    </row>
    <row r="41" spans="1:17" x14ac:dyDescent="0.25">
      <c r="G41" s="119" t="s">
        <v>100</v>
      </c>
      <c r="H41" s="119"/>
      <c r="I41" s="35">
        <v>46404802</v>
      </c>
      <c r="J41" s="35">
        <v>55249943</v>
      </c>
      <c r="K41" s="35">
        <v>56377086</v>
      </c>
      <c r="L41" s="35">
        <v>54011946</v>
      </c>
      <c r="M41" s="35">
        <v>51736555</v>
      </c>
      <c r="N41" s="35">
        <v>54780452</v>
      </c>
      <c r="O41" s="35">
        <v>63784854</v>
      </c>
      <c r="P41" s="35">
        <v>115272150</v>
      </c>
      <c r="Q41" s="35">
        <v>60470000</v>
      </c>
    </row>
    <row r="42" spans="1:17" ht="16.5" thickBot="1" x14ac:dyDescent="0.3">
      <c r="G42" s="120" t="s">
        <v>106</v>
      </c>
      <c r="H42" s="120"/>
      <c r="I42" s="34">
        <f>I20+I28</f>
        <v>301725739</v>
      </c>
      <c r="J42" s="34">
        <f t="shared" ref="J42:Q42" si="16">J20+J28</f>
        <v>346789465</v>
      </c>
      <c r="K42" s="34">
        <f t="shared" si="16"/>
        <v>409862921</v>
      </c>
      <c r="L42" s="34">
        <f t="shared" si="16"/>
        <v>400098149</v>
      </c>
      <c r="M42" s="34">
        <f t="shared" si="16"/>
        <v>546853140</v>
      </c>
      <c r="N42" s="34">
        <f t="shared" si="16"/>
        <v>534167482</v>
      </c>
      <c r="O42" s="34">
        <f t="shared" si="16"/>
        <v>519682320</v>
      </c>
      <c r="P42" s="34">
        <f t="shared" si="16"/>
        <v>641985094</v>
      </c>
      <c r="Q42" s="34">
        <f t="shared" si="16"/>
        <v>700352000</v>
      </c>
    </row>
    <row r="43" spans="1:17" ht="18.75" x14ac:dyDescent="0.3">
      <c r="G43" s="120" t="s">
        <v>105</v>
      </c>
      <c r="H43" s="120"/>
      <c r="I43" s="82">
        <f t="shared" ref="I43:Q43" si="17">I32+I40</f>
        <v>513003997</v>
      </c>
      <c r="J43" s="82">
        <f t="shared" si="17"/>
        <v>632262507</v>
      </c>
      <c r="K43" s="82">
        <f t="shared" si="17"/>
        <v>696233454</v>
      </c>
      <c r="L43" s="82">
        <f t="shared" si="17"/>
        <v>690719498</v>
      </c>
      <c r="M43" s="82">
        <f t="shared" si="17"/>
        <v>839744036</v>
      </c>
      <c r="N43" s="82">
        <f t="shared" si="17"/>
        <v>873567786</v>
      </c>
      <c r="O43" s="82">
        <f t="shared" si="17"/>
        <v>819383906</v>
      </c>
      <c r="P43" s="82">
        <f t="shared" si="17"/>
        <v>1086877329</v>
      </c>
      <c r="Q43" s="82">
        <f t="shared" si="17"/>
        <v>1284247000</v>
      </c>
    </row>
  </sheetData>
  <mergeCells count="4">
    <mergeCell ref="G40:H40"/>
    <mergeCell ref="G41:H41"/>
    <mergeCell ref="G43:H43"/>
    <mergeCell ref="G42:H42"/>
  </mergeCells>
  <printOptions gridLines="1"/>
  <pageMargins left="0.2" right="0.2" top="0.5" bottom="0.25" header="0.3" footer="0.3"/>
  <pageSetup scale="45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Madison F. Stmt 9-2024</vt:lpstr>
      <vt:lpstr>Auburn vs Masdison</vt:lpstr>
      <vt:lpstr>Madison Finance History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Retsch</dc:creator>
  <cp:lastModifiedBy>Robert Retsch</cp:lastModifiedBy>
  <cp:lastPrinted>2025-07-29T13:52:50Z</cp:lastPrinted>
  <dcterms:created xsi:type="dcterms:W3CDTF">2025-07-09T22:39:10Z</dcterms:created>
  <dcterms:modified xsi:type="dcterms:W3CDTF">2025-08-01T14:15:08Z</dcterms:modified>
</cp:coreProperties>
</file>